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SERS\Jill\Website Updates\Governance\"/>
    </mc:Choice>
  </mc:AlternateContent>
  <bookViews>
    <workbookView xWindow="0" yWindow="0" windowWidth="20160" windowHeight="8256"/>
  </bookViews>
  <sheets>
    <sheet name="Optimised" sheetId="1" r:id="rId1"/>
    <sheet name="Research" sheetId="4" r:id="rId2"/>
  </sheets>
  <definedNames>
    <definedName name="abbladder" localSheetId="1">Research!$C$43</definedName>
    <definedName name="abbladder">Optimised!$C$63</definedName>
    <definedName name="abrectum" localSheetId="1">Research!#REF!</definedName>
    <definedName name="abrectum">Optimised!#REF!</definedName>
    <definedName name="abtumor" localSheetId="1">Research!#REF!</definedName>
    <definedName name="abtumor">Optimised!#REF!</definedName>
    <definedName name="gpdrtumorbt1" localSheetId="1">Research!#REF!</definedName>
    <definedName name="gpdrtumorbt1">Optimised!#REF!</definedName>
    <definedName name="_xlnm.Print_Area" localSheetId="0">Optimised!$B$4:$P$86</definedName>
    <definedName name="_xlnm.Print_Area" localSheetId="1">Research!$B$2:$O$72</definedName>
    <definedName name="thalvbladder" localSheetId="1">Research!$C$44</definedName>
    <definedName name="thalvbladder">Optimised!$C$64</definedName>
    <definedName name="thalvrectum" localSheetId="1">Research!#REF!</definedName>
    <definedName name="thalvrectum">Optimised!#REF!</definedName>
    <definedName name="thalvtumor" localSheetId="1">Research!$C$24</definedName>
    <definedName name="thalvtumor">Optimised!$C$49</definedName>
  </definedNames>
  <calcPr calcId="162913"/>
</workbook>
</file>

<file path=xl/calcChain.xml><?xml version="1.0" encoding="utf-8"?>
<calcChain xmlns="http://schemas.openxmlformats.org/spreadsheetml/2006/main">
  <c r="I48" i="1" l="1"/>
  <c r="K37" i="1"/>
  <c r="L37" i="1"/>
  <c r="K38" i="1"/>
  <c r="L38" i="1" s="1"/>
  <c r="L42" i="1" s="1"/>
  <c r="K39" i="1"/>
  <c r="L39" i="1" s="1"/>
  <c r="K40" i="1"/>
  <c r="S56" i="1"/>
  <c r="C9" i="1"/>
  <c r="P57" i="1" s="1"/>
  <c r="K75" i="1"/>
  <c r="K74" i="1"/>
  <c r="K72" i="1"/>
  <c r="K71" i="1"/>
  <c r="K65" i="1"/>
  <c r="K64" i="1"/>
  <c r="K63" i="1"/>
  <c r="K68" i="1"/>
  <c r="K55" i="1"/>
  <c r="L55" i="1" s="1"/>
  <c r="N55" i="1" s="1"/>
  <c r="I36" i="1"/>
  <c r="K35" i="1"/>
  <c r="K36" i="1"/>
  <c r="K33" i="1" s="1"/>
  <c r="V54" i="1" s="1"/>
  <c r="K52" i="1"/>
  <c r="L52" i="1"/>
  <c r="N52" i="1"/>
  <c r="K60" i="1"/>
  <c r="L60" i="1" s="1"/>
  <c r="N60" i="1" s="1"/>
  <c r="I40" i="1"/>
  <c r="I41" i="1"/>
  <c r="I42" i="1"/>
  <c r="K80" i="1"/>
  <c r="L80" i="1" s="1"/>
  <c r="K81" i="1"/>
  <c r="L81" i="1" s="1"/>
  <c r="K79" i="1"/>
  <c r="L15" i="1"/>
  <c r="N15" i="1" s="1"/>
  <c r="O81" i="1"/>
  <c r="K67" i="1"/>
  <c r="L65" i="1"/>
  <c r="S61" i="1"/>
  <c r="S49" i="1"/>
  <c r="S50" i="1"/>
  <c r="R75" i="1"/>
  <c r="R72" i="1"/>
  <c r="R69" i="1"/>
  <c r="R65" i="1"/>
  <c r="R57" i="1"/>
  <c r="K53" i="1"/>
  <c r="L53" i="1"/>
  <c r="R50" i="1"/>
  <c r="K11" i="1"/>
  <c r="L13" i="1"/>
  <c r="N13" i="1"/>
  <c r="O79" i="1"/>
  <c r="L14" i="1"/>
  <c r="N14" i="1" s="1"/>
  <c r="O80" i="1"/>
  <c r="K9" i="1"/>
  <c r="K10" i="1"/>
  <c r="N10" i="1" s="1"/>
  <c r="K8" i="1"/>
  <c r="K12" i="1"/>
  <c r="L8" i="1"/>
  <c r="N8" i="1" s="1"/>
  <c r="L9" i="1"/>
  <c r="L10" i="1"/>
  <c r="L11" i="1"/>
  <c r="N11" i="1"/>
  <c r="L12" i="1"/>
  <c r="K32" i="1"/>
  <c r="L32" i="1"/>
  <c r="L79" i="1"/>
  <c r="K78" i="1"/>
  <c r="L78" i="1"/>
  <c r="K77" i="1"/>
  <c r="L77" i="1" s="1"/>
  <c r="K48" i="1"/>
  <c r="L48" i="1"/>
  <c r="N5" i="4"/>
  <c r="K6" i="4"/>
  <c r="L6" i="4"/>
  <c r="N6" i="4"/>
  <c r="C7" i="4"/>
  <c r="K7" i="4"/>
  <c r="L7" i="4"/>
  <c r="N7" i="4"/>
  <c r="L8" i="4"/>
  <c r="N8" i="4" s="1"/>
  <c r="L9" i="4"/>
  <c r="N9" i="4"/>
  <c r="K10" i="4"/>
  <c r="N10" i="4" s="1"/>
  <c r="L10" i="4"/>
  <c r="K11" i="4"/>
  <c r="N11" i="4" s="1"/>
  <c r="L11" i="4"/>
  <c r="K12" i="4"/>
  <c r="L12" i="4"/>
  <c r="N12" i="4"/>
  <c r="K14" i="4"/>
  <c r="L14" i="4"/>
  <c r="I15" i="4"/>
  <c r="I16" i="4"/>
  <c r="K18" i="4"/>
  <c r="L18" i="4"/>
  <c r="L19" i="4" s="1"/>
  <c r="N18" i="4"/>
  <c r="K17" i="4"/>
  <c r="L17" i="4" s="1"/>
  <c r="L15" i="4" s="1"/>
  <c r="I19" i="4"/>
  <c r="K19" i="4"/>
  <c r="N19" i="4" s="1"/>
  <c r="I23" i="4"/>
  <c r="K23" i="4"/>
  <c r="L23" i="4"/>
  <c r="K24" i="4"/>
  <c r="L24" i="4"/>
  <c r="K25" i="4"/>
  <c r="L25" i="4"/>
  <c r="N27" i="4"/>
  <c r="K28" i="4"/>
  <c r="L28" i="4"/>
  <c r="K29" i="4"/>
  <c r="N31" i="4"/>
  <c r="K32" i="4"/>
  <c r="L32" i="4"/>
  <c r="K33" i="4"/>
  <c r="L33" i="4"/>
  <c r="K34" i="4"/>
  <c r="L34" i="4"/>
  <c r="K35" i="4"/>
  <c r="L35" i="4"/>
  <c r="N37" i="4"/>
  <c r="K38" i="4"/>
  <c r="K39" i="4"/>
  <c r="L39" i="4"/>
  <c r="K40" i="4"/>
  <c r="L43" i="4"/>
  <c r="L44" i="4"/>
  <c r="K45" i="4"/>
  <c r="L48" i="4"/>
  <c r="L49" i="4"/>
  <c r="K50" i="4"/>
  <c r="L53" i="4"/>
  <c r="K54" i="4"/>
  <c r="L54" i="4"/>
  <c r="L57" i="4"/>
  <c r="K58" i="4"/>
  <c r="L58" i="4"/>
  <c r="K60" i="4"/>
  <c r="L60" i="4" s="1"/>
  <c r="K61" i="4"/>
  <c r="L61" i="4"/>
  <c r="K62" i="4"/>
  <c r="K63" i="4"/>
  <c r="L63" i="4"/>
  <c r="K64" i="4"/>
  <c r="L64" i="4" s="1"/>
  <c r="K65" i="4"/>
  <c r="L65" i="4"/>
  <c r="K66" i="4"/>
  <c r="L66" i="4" s="1"/>
  <c r="K67" i="4"/>
  <c r="L67" i="4"/>
  <c r="K69" i="1"/>
  <c r="L69" i="1" s="1"/>
  <c r="K57" i="1"/>
  <c r="L57" i="1"/>
  <c r="K49" i="1"/>
  <c r="L49" i="1" s="1"/>
  <c r="L67" i="1"/>
  <c r="L68" i="1"/>
  <c r="K56" i="1"/>
  <c r="L56" i="1" s="1"/>
  <c r="L63" i="1"/>
  <c r="L64" i="1"/>
  <c r="L71" i="1"/>
  <c r="L74" i="1"/>
  <c r="L72" i="1"/>
  <c r="K61" i="1"/>
  <c r="L61" i="1" s="1"/>
  <c r="K58" i="1"/>
  <c r="L58" i="1"/>
  <c r="K50" i="1"/>
  <c r="L50" i="1" s="1"/>
  <c r="N7" i="1"/>
  <c r="N14" i="4"/>
  <c r="I43" i="1"/>
  <c r="I33" i="1"/>
  <c r="I34" i="1" s="1"/>
  <c r="L35" i="1"/>
  <c r="L36" i="1"/>
  <c r="L33" i="1"/>
  <c r="N32" i="1"/>
  <c r="I44" i="1"/>
  <c r="N37" i="1"/>
  <c r="L41" i="1"/>
  <c r="N12" i="1"/>
  <c r="N9" i="1"/>
  <c r="K41" i="1"/>
  <c r="K44" i="1"/>
  <c r="W54" i="1"/>
  <c r="K43" i="1"/>
  <c r="N41" i="1"/>
  <c r="L34" i="1" l="1"/>
  <c r="T32" i="4"/>
  <c r="T61" i="4"/>
  <c r="L16" i="4"/>
  <c r="T43" i="4"/>
  <c r="T48" i="4"/>
  <c r="T52" i="4"/>
  <c r="T56" i="4"/>
  <c r="L40" i="1"/>
  <c r="L44" i="1" s="1"/>
  <c r="W83" i="1"/>
  <c r="W66" i="1"/>
  <c r="W58" i="1"/>
  <c r="W70" i="1"/>
  <c r="W78" i="1"/>
  <c r="W74" i="1"/>
  <c r="W62" i="1"/>
  <c r="K34" i="1"/>
  <c r="V83" i="1"/>
  <c r="V78" i="1"/>
  <c r="V70" i="1"/>
  <c r="V66" i="1"/>
  <c r="V74" i="1"/>
  <c r="V62" i="1"/>
  <c r="V58" i="1"/>
  <c r="L43" i="1"/>
  <c r="N39" i="1"/>
  <c r="N43" i="1" s="1"/>
  <c r="K42" i="1"/>
  <c r="K15" i="4"/>
  <c r="L75" i="1"/>
  <c r="L62" i="4"/>
  <c r="L50" i="4"/>
  <c r="L45" i="4"/>
  <c r="L40" i="4"/>
  <c r="L38" i="4"/>
  <c r="L29" i="4"/>
  <c r="N38" i="1"/>
  <c r="N42" i="1" s="1"/>
  <c r="S56" i="4" l="1"/>
  <c r="S48" i="4"/>
  <c r="S52" i="4"/>
  <c r="S43" i="4"/>
  <c r="S32" i="4"/>
  <c r="S61" i="4"/>
  <c r="K16" i="4"/>
  <c r="N40" i="1"/>
  <c r="N44" i="1" s="1"/>
  <c r="W80" i="1"/>
  <c r="W81" i="1" s="1"/>
  <c r="W77" i="1" s="1"/>
  <c r="W63" i="1"/>
  <c r="W64" i="1" s="1"/>
  <c r="W61" i="1" s="1"/>
  <c r="W79" i="1"/>
  <c r="W55" i="1"/>
  <c r="W56" i="1" s="1"/>
  <c r="W53" i="1" s="1"/>
  <c r="W59" i="1"/>
  <c r="W60" i="1" s="1"/>
  <c r="W57" i="1" s="1"/>
  <c r="W84" i="1"/>
  <c r="W85" i="1" s="1"/>
  <c r="W82" i="1" s="1"/>
  <c r="W67" i="1"/>
  <c r="W68" i="1" s="1"/>
  <c r="W65" i="1" s="1"/>
  <c r="W75" i="1"/>
  <c r="W76" i="1" s="1"/>
  <c r="W73" i="1" s="1"/>
  <c r="W71" i="1"/>
  <c r="W72" i="1" s="1"/>
  <c r="W69" i="1" s="1"/>
  <c r="V79" i="1"/>
  <c r="V71" i="1"/>
  <c r="V72" i="1" s="1"/>
  <c r="V69" i="1" s="1"/>
  <c r="V55" i="1"/>
  <c r="V56" i="1" s="1"/>
  <c r="V53" i="1" s="1"/>
  <c r="V59" i="1"/>
  <c r="V60" i="1" s="1"/>
  <c r="V57" i="1" s="1"/>
  <c r="V67" i="1"/>
  <c r="V68" i="1" s="1"/>
  <c r="V65" i="1" s="1"/>
  <c r="V84" i="1"/>
  <c r="V85" i="1" s="1"/>
  <c r="V82" i="1" s="1"/>
  <c r="V80" i="1"/>
  <c r="V81" i="1" s="1"/>
  <c r="V77" i="1" s="1"/>
  <c r="V75" i="1"/>
  <c r="V76" i="1" s="1"/>
  <c r="V73" i="1" s="1"/>
  <c r="V63" i="1"/>
  <c r="V64" i="1" s="1"/>
  <c r="V61" i="1" s="1"/>
  <c r="T44" i="4"/>
  <c r="T45" i="4" s="1"/>
  <c r="T42" i="4" s="1"/>
  <c r="T33" i="4"/>
  <c r="T34" i="4" s="1"/>
  <c r="T31" i="4" s="1"/>
  <c r="T49" i="4"/>
  <c r="T50" i="4" s="1"/>
  <c r="T47" i="4" s="1"/>
  <c r="T62" i="4"/>
  <c r="T63" i="4" s="1"/>
  <c r="T60" i="4" s="1"/>
  <c r="T53" i="4"/>
  <c r="T54" i="4" s="1"/>
  <c r="T51" i="4" s="1"/>
  <c r="T57" i="4"/>
  <c r="T58" i="4" s="1"/>
  <c r="T55" i="4" s="1"/>
  <c r="N79" i="1" l="1"/>
  <c r="N78" i="1"/>
  <c r="O78" i="1" s="1"/>
  <c r="N77" i="1"/>
  <c r="O77" i="1" s="1"/>
  <c r="N81" i="1"/>
  <c r="N80" i="1"/>
  <c r="S47" i="4"/>
  <c r="N64" i="1"/>
  <c r="O64" i="1" s="1"/>
  <c r="N63" i="1"/>
  <c r="O63" i="1" s="1"/>
  <c r="N65" i="1"/>
  <c r="O65" i="1" s="1"/>
  <c r="N57" i="1"/>
  <c r="O57" i="1" s="1"/>
  <c r="N48" i="1"/>
  <c r="O48" i="1" s="1"/>
  <c r="N58" i="1"/>
  <c r="O58" i="1" s="1"/>
  <c r="N53" i="1"/>
  <c r="O53" i="1" s="1"/>
  <c r="N61" i="1"/>
  <c r="O61" i="1" s="1"/>
  <c r="N49" i="1"/>
  <c r="O49" i="1" s="1"/>
  <c r="N50" i="1"/>
  <c r="O50" i="1" s="1"/>
  <c r="N56" i="1"/>
  <c r="O56" i="1" s="1"/>
  <c r="N74" i="1"/>
  <c r="O74" i="1" s="1"/>
  <c r="N75" i="1"/>
  <c r="O75" i="1" s="1"/>
  <c r="N68" i="1"/>
  <c r="O68" i="1" s="1"/>
  <c r="N67" i="1"/>
  <c r="O67" i="1" s="1"/>
  <c r="N69" i="1"/>
  <c r="O69" i="1" s="1"/>
  <c r="N71" i="1"/>
  <c r="O71" i="1" s="1"/>
  <c r="N72" i="1"/>
  <c r="O72" i="1" s="1"/>
  <c r="S62" i="4"/>
  <c r="S63" i="4" s="1"/>
  <c r="S60" i="4" s="1"/>
  <c r="S44" i="4"/>
  <c r="S45" i="4" s="1"/>
  <c r="S42" i="4" s="1"/>
  <c r="S33" i="4"/>
  <c r="S34" i="4" s="1"/>
  <c r="S31" i="4" s="1"/>
  <c r="S49" i="4"/>
  <c r="S50" i="4" s="1"/>
  <c r="S53" i="4"/>
  <c r="S54" i="4" s="1"/>
  <c r="S51" i="4" s="1"/>
  <c r="S57" i="4"/>
  <c r="S58" i="4" s="1"/>
  <c r="S55" i="4" s="1"/>
  <c r="N43" i="4" l="1"/>
  <c r="O43" i="4" s="1"/>
  <c r="N44" i="4"/>
  <c r="O44" i="4" s="1"/>
  <c r="N45" i="4"/>
  <c r="O45" i="4" s="1"/>
  <c r="N63" i="4"/>
  <c r="O63" i="4" s="1"/>
  <c r="N67" i="4"/>
  <c r="O67" i="4" s="1"/>
  <c r="N61" i="4"/>
  <c r="O61" i="4" s="1"/>
  <c r="N65" i="4"/>
  <c r="O65" i="4" s="1"/>
  <c r="N62" i="4"/>
  <c r="O62" i="4" s="1"/>
  <c r="N64" i="4"/>
  <c r="O64" i="4" s="1"/>
  <c r="N60" i="4"/>
  <c r="O60" i="4" s="1"/>
  <c r="N66" i="4"/>
  <c r="O66" i="4" s="1"/>
  <c r="N57" i="4"/>
  <c r="O57" i="4" s="1"/>
  <c r="N58" i="4"/>
  <c r="O58" i="4" s="1"/>
  <c r="N53" i="4"/>
  <c r="O53" i="4" s="1"/>
  <c r="N54" i="4"/>
  <c r="O54" i="4" s="1"/>
  <c r="N49" i="4"/>
  <c r="O49" i="4" s="1"/>
  <c r="N48" i="4"/>
  <c r="O48" i="4" s="1"/>
  <c r="N50" i="4"/>
  <c r="O50" i="4" s="1"/>
  <c r="N32" i="4"/>
  <c r="O32" i="4" s="1"/>
  <c r="N34" i="4"/>
  <c r="O34" i="4" s="1"/>
  <c r="N24" i="4"/>
  <c r="O24" i="4" s="1"/>
  <c r="N33" i="4"/>
  <c r="O33" i="4" s="1"/>
  <c r="N35" i="4"/>
  <c r="O35" i="4" s="1"/>
  <c r="N39" i="4"/>
  <c r="O39" i="4" s="1"/>
  <c r="N28" i="4"/>
  <c r="O28" i="4" s="1"/>
  <c r="N23" i="4"/>
  <c r="O23" i="4" s="1"/>
  <c r="N25" i="4"/>
  <c r="O25" i="4" s="1"/>
  <c r="N40" i="4"/>
  <c r="O40" i="4" s="1"/>
  <c r="N38" i="4"/>
  <c r="O38" i="4" s="1"/>
  <c r="N29" i="4"/>
  <c r="O29" i="4" s="1"/>
</calcChain>
</file>

<file path=xl/sharedStrings.xml><?xml version="1.0" encoding="utf-8"?>
<sst xmlns="http://schemas.openxmlformats.org/spreadsheetml/2006/main" count="390" uniqueCount="156">
  <si>
    <t>Variable</t>
  </si>
  <si>
    <t>Date</t>
  </si>
  <si>
    <t>Puls interval</t>
  </si>
  <si>
    <t>Puls duration</t>
  </si>
  <si>
    <t>TRAK (Gy at 1m)</t>
  </si>
  <si>
    <t>GTV</t>
  </si>
  <si>
    <t>Unit</t>
  </si>
  <si>
    <t>Gy</t>
  </si>
  <si>
    <t>min</t>
  </si>
  <si>
    <t>D90</t>
  </si>
  <si>
    <t>D100 =MTD</t>
  </si>
  <si>
    <r>
      <t>cm</t>
    </r>
    <r>
      <rPr>
        <vertAlign val="superscript"/>
        <sz val="10"/>
        <rFont val="Arial"/>
        <family val="2"/>
      </rPr>
      <t>3</t>
    </r>
  </si>
  <si>
    <t>HR CTV</t>
  </si>
  <si>
    <t>Volume of HR CTV</t>
  </si>
  <si>
    <t>EBRT+BT</t>
  </si>
  <si>
    <t>Volume of OAR</t>
  </si>
  <si>
    <r>
      <t>Dose 0.1 cm</t>
    </r>
    <r>
      <rPr>
        <vertAlign val="superscript"/>
        <sz val="10"/>
        <rFont val="Arial"/>
        <family val="2"/>
      </rPr>
      <t>3</t>
    </r>
  </si>
  <si>
    <r>
      <t>Dose 2.0 cm</t>
    </r>
    <r>
      <rPr>
        <vertAlign val="superscript"/>
        <sz val="10"/>
        <rFont val="Arial"/>
        <family val="2"/>
      </rPr>
      <t>3</t>
    </r>
  </si>
  <si>
    <t>mm</t>
  </si>
  <si>
    <r>
      <t>Dose point A</t>
    </r>
    <r>
      <rPr>
        <vertAlign val="subscript"/>
        <sz val="10"/>
        <rFont val="Arial"/>
        <family val="2"/>
      </rPr>
      <t>left</t>
    </r>
  </si>
  <si>
    <t>Dose ICRU</t>
  </si>
  <si>
    <r>
      <t>Dose point A</t>
    </r>
    <r>
      <rPr>
        <vertAlign val="subscript"/>
        <sz val="10"/>
        <rFont val="Arial"/>
        <family val="2"/>
      </rPr>
      <t>right</t>
    </r>
  </si>
  <si>
    <t>BLADDER</t>
  </si>
  <si>
    <t>RECTUM</t>
  </si>
  <si>
    <t>Sum BT</t>
  </si>
  <si>
    <t>Time/dose pattern</t>
  </si>
  <si>
    <t>Y</t>
  </si>
  <si>
    <t>K</t>
  </si>
  <si>
    <t>S</t>
  </si>
  <si>
    <t>BT1</t>
  </si>
  <si>
    <t>BT2</t>
  </si>
  <si>
    <t>Ring diameter</t>
  </si>
  <si>
    <t>Tandem length</t>
  </si>
  <si>
    <t>Applicator</t>
  </si>
  <si>
    <t>Pt. ID</t>
  </si>
  <si>
    <t>Total treatment time</t>
  </si>
  <si>
    <t>cGy</t>
  </si>
  <si>
    <t>EBRT dose</t>
  </si>
  <si>
    <t>EBRT fx</t>
  </si>
  <si>
    <t>Source strength factor</t>
  </si>
  <si>
    <t>IR CTV</t>
  </si>
  <si>
    <t>Volume of IR CTV</t>
  </si>
  <si>
    <t>TEST</t>
  </si>
  <si>
    <t>Number of active needles</t>
  </si>
  <si>
    <r>
      <t>BT</t>
    </r>
    <r>
      <rPr>
        <b/>
        <vertAlign val="subscript"/>
        <sz val="10"/>
        <rFont val="Arial"/>
        <family val="2"/>
      </rPr>
      <t>1</t>
    </r>
  </si>
  <si>
    <r>
      <t>BT</t>
    </r>
    <r>
      <rPr>
        <b/>
        <vertAlign val="subscript"/>
        <sz val="10"/>
        <rFont val="Arial"/>
        <family val="2"/>
      </rPr>
      <t>2</t>
    </r>
  </si>
  <si>
    <t>D50</t>
  </si>
  <si>
    <t>EQD2</t>
  </si>
  <si>
    <t>D98</t>
  </si>
  <si>
    <t>Bladder</t>
  </si>
  <si>
    <t>Rectum</t>
  </si>
  <si>
    <t>Sigmoid</t>
  </si>
  <si>
    <t>Bowel</t>
  </si>
  <si>
    <t>LQ parameters</t>
  </si>
  <si>
    <t>EBRT start</t>
  </si>
  <si>
    <t>EBRT end</t>
  </si>
  <si>
    <t>VAGINA</t>
  </si>
  <si>
    <t>OTT, days</t>
  </si>
  <si>
    <t>OTT including BT</t>
  </si>
  <si>
    <t>EBRT EQD2</t>
  </si>
  <si>
    <t>Aim EQD2</t>
  </si>
  <si>
    <t>Saved at</t>
  </si>
  <si>
    <t>Physician</t>
  </si>
  <si>
    <t>Physicist</t>
  </si>
  <si>
    <t>Volume of GTV</t>
  </si>
  <si>
    <t>G-FACTOR</t>
  </si>
  <si>
    <t>EMB. No.</t>
  </si>
  <si>
    <t>Approved Plans</t>
  </si>
  <si>
    <r>
      <t>a/b</t>
    </r>
    <r>
      <rPr>
        <b/>
        <sz val="10"/>
        <rFont val="Arial"/>
        <family val="2"/>
      </rPr>
      <t xml:space="preserve"> (Gy)</t>
    </r>
  </si>
  <si>
    <t>T½ (h)</t>
  </si>
  <si>
    <t>Vagina upper</t>
  </si>
  <si>
    <t>BOWEL</t>
  </si>
  <si>
    <t>In vivo dosimetry</t>
  </si>
  <si>
    <t>Treatment delivered as planned</t>
  </si>
  <si>
    <t>Initials</t>
  </si>
  <si>
    <t>Dose vag. dxt 0 mm</t>
  </si>
  <si>
    <t>Dose vag. sin 0 mm</t>
  </si>
  <si>
    <t>Dose vag. dxt 5 mm</t>
  </si>
  <si>
    <t>Dose vag. sin 5 mm</t>
  </si>
  <si>
    <t>Dose vag. ant 5 mm</t>
  </si>
  <si>
    <t>Dose vag. post 5 mm</t>
  </si>
  <si>
    <t>Dose vag. PIBS</t>
  </si>
  <si>
    <r>
      <t>cm</t>
    </r>
    <r>
      <rPr>
        <vertAlign val="superscript"/>
        <sz val="9"/>
        <rFont val="Arial"/>
        <family val="2"/>
      </rPr>
      <t>3</t>
    </r>
  </si>
  <si>
    <t>#</t>
  </si>
  <si>
    <t>Number of implanted needles</t>
  </si>
  <si>
    <t>Number of hourly pulses</t>
  </si>
  <si>
    <t>Treatment approved</t>
  </si>
  <si>
    <t>Estimated rectal probe dose</t>
  </si>
  <si>
    <t>Observed rectal probe dose</t>
  </si>
  <si>
    <t>Ring channel to surface distance</t>
  </si>
  <si>
    <t>In case a volume is missing, write NA for not applicable in the coloured section. Also delete the zeros.</t>
  </si>
  <si>
    <t>sec</t>
  </si>
  <si>
    <t>Pt. Name</t>
  </si>
  <si>
    <t>Overall treatment time (OTT) include EBRT &amp; BT1 &amp; 2. It should preferably be below 7 weeks (50 days).</t>
  </si>
  <si>
    <t>Tumour</t>
  </si>
  <si>
    <t>Dose point A in standard plan</t>
  </si>
  <si>
    <t>SIGMOID</t>
  </si>
  <si>
    <t>Point A</t>
  </si>
  <si>
    <r>
      <t xml:space="preserve">All </t>
    </r>
    <r>
      <rPr>
        <sz val="10"/>
        <color indexed="23"/>
        <rFont val="Arial"/>
        <family val="2"/>
      </rPr>
      <t xml:space="preserve">grey numbers </t>
    </r>
    <r>
      <rPr>
        <sz val="10"/>
        <rFont val="Arial"/>
        <family val="2"/>
      </rPr>
      <t>below must be overwritten. They will then become the normal black font.</t>
    </r>
  </si>
  <si>
    <t xml:space="preserve">These fields below can be used for notes. </t>
  </si>
  <si>
    <t>Dose vag. PIBS+2cm</t>
  </si>
  <si>
    <t>Vagina PIBS+2cm</t>
  </si>
  <si>
    <t>Vagina PIBS</t>
  </si>
  <si>
    <t>RESEARCH</t>
  </si>
  <si>
    <t>Dose point A sin</t>
  </si>
  <si>
    <t>Dose point A dxt</t>
  </si>
  <si>
    <t>Number of pulses</t>
  </si>
  <si>
    <t>˚</t>
  </si>
  <si>
    <t>Calculations</t>
  </si>
  <si>
    <t>Pulse pause interval</t>
  </si>
  <si>
    <t>Source strength</t>
  </si>
  <si>
    <t>Ci</t>
  </si>
  <si>
    <t>%</t>
  </si>
  <si>
    <t>Limits</t>
  </si>
  <si>
    <t>Upper:</t>
  </si>
  <si>
    <t>Vagina PIBS-2cm</t>
  </si>
  <si>
    <r>
      <t>Dose 0.1 cm</t>
    </r>
    <r>
      <rPr>
        <vertAlign val="superscript"/>
        <sz val="10"/>
        <rFont val="Arial"/>
        <family val="2"/>
      </rPr>
      <t>3 (tjek af nåle - %rapportere)</t>
    </r>
  </si>
  <si>
    <t>Tandem treatment time</t>
  </si>
  <si>
    <t>Ring treatment time</t>
  </si>
  <si>
    <t>Needle treatment time</t>
  </si>
  <si>
    <t>TRAK tandem/TRAK</t>
  </si>
  <si>
    <t>TRAK ring/TRAK</t>
  </si>
  <si>
    <t>TRAK needles/TRAK</t>
  </si>
  <si>
    <t>Dose ICRU recto-vagina</t>
  </si>
  <si>
    <t>Dose ICRU bladder</t>
  </si>
  <si>
    <r>
      <t>Volume of GTV</t>
    </r>
    <r>
      <rPr>
        <vertAlign val="subscript"/>
        <sz val="10"/>
        <rFont val="Arial"/>
        <family val="2"/>
      </rPr>
      <t>res</t>
    </r>
  </si>
  <si>
    <t>HRCTVD90</t>
  </si>
  <si>
    <t>HRCTVave</t>
  </si>
  <si>
    <t>OTT</t>
  </si>
  <si>
    <t>LC 3Y</t>
  </si>
  <si>
    <t>Constanct for calculation of local control at 3 years</t>
  </si>
  <si>
    <t>Hazard ratios regression coefficients:</t>
  </si>
  <si>
    <t>Reference values</t>
  </si>
  <si>
    <t>HRCTV volume:</t>
  </si>
  <si>
    <t>HRCTV D90:</t>
  </si>
  <si>
    <t>Local Control 3y:</t>
  </si>
  <si>
    <t>cm^3</t>
  </si>
  <si>
    <t>days</t>
  </si>
  <si>
    <t>BP</t>
  </si>
  <si>
    <t>LC 3Y: Local Control 3 Year. Uses OTT, volume, D90, pulses and duration</t>
  </si>
  <si>
    <t>Applicator angle</t>
  </si>
  <si>
    <t>Cap (Normal/Needle/None/3D)</t>
  </si>
  <si>
    <t>Technique (IC, IC/IS-P, IC/IS-O)</t>
  </si>
  <si>
    <r>
      <t xml:space="preserve">Mark needle positions as active by fillling color in the relevant circles. </t>
    </r>
    <r>
      <rPr>
        <b/>
        <sz val="10"/>
        <rFont val="Arial"/>
        <family val="2"/>
      </rPr>
      <t>Technique:</t>
    </r>
    <r>
      <rPr>
        <sz val="10"/>
        <rFont val="Arial"/>
        <family val="2"/>
      </rPr>
      <t xml:space="preserve"> Intracavitary (IC), +interstitial (IC/IS), parallel (-P) or oblique (-O) needles, and other.</t>
    </r>
  </si>
  <si>
    <t>Pulse irradiation time</t>
  </si>
  <si>
    <t>TRAK in cGy</t>
  </si>
  <si>
    <t>PIBS +2cm</t>
  </si>
  <si>
    <t xml:space="preserve">PIBS </t>
  </si>
  <si>
    <t>PIBS -2cm</t>
  </si>
  <si>
    <t xml:space="preserve">The empty fields below can be used for notes. </t>
  </si>
  <si>
    <t>Vaginal lateral 5mm dxt</t>
  </si>
  <si>
    <t>Vaginal lateral 5mm sin</t>
  </si>
  <si>
    <t>LC 3Y:</t>
  </si>
  <si>
    <t>Neither the authors nor anybody else can accept any legal responsibility or liability for any errors or omissions in the spreadsheet</t>
  </si>
  <si>
    <t>November 2016</t>
  </si>
  <si>
    <t>Aarhus University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</si>
</sst>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-mm\-yy"/>
    <numFmt numFmtId="165" formatCode="0.0"/>
    <numFmt numFmtId="166" formatCode="0.000"/>
    <numFmt numFmtId="167" formatCode="0.0%"/>
  </numFmts>
  <fonts count="18" x14ac:knownFonts="1">
    <font>
      <sz val="10"/>
      <name val="Arial"/>
    </font>
    <font>
      <vertAlign val="subscript"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b/>
      <vertAlign val="subscript"/>
      <sz val="10"/>
      <name val="Arial"/>
      <family val="2"/>
    </font>
    <font>
      <b/>
      <sz val="11"/>
      <name val="Arial"/>
      <family val="2"/>
    </font>
    <font>
      <b/>
      <sz val="10"/>
      <name val="Symbol"/>
      <family val="1"/>
      <charset val="2"/>
    </font>
    <font>
      <b/>
      <sz val="8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vertAlign val="superscript"/>
      <sz val="9"/>
      <name val="Arial"/>
      <family val="2"/>
    </font>
    <font>
      <sz val="10"/>
      <color indexed="23"/>
      <name val="Arial"/>
      <family val="2"/>
    </font>
    <font>
      <sz val="10"/>
      <name val="Calibri"/>
      <family val="2"/>
    </font>
    <font>
      <sz val="10"/>
      <name val="Arial"/>
      <family val="2"/>
    </font>
    <font>
      <b/>
      <i/>
      <sz val="9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278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1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1" fontId="0" fillId="3" borderId="4" xfId="0" applyNumberFormat="1" applyFill="1" applyBorder="1" applyAlignment="1">
      <alignment horizontal="center" vertical="center"/>
    </xf>
    <xf numFmtId="2" fontId="0" fillId="3" borderId="4" xfId="0" applyNumberFormat="1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/>
    </xf>
    <xf numFmtId="0" fontId="0" fillId="4" borderId="4" xfId="0" applyFill="1" applyBorder="1" applyAlignment="1" applyProtection="1">
      <alignment horizontal="center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165" fontId="0" fillId="4" borderId="4" xfId="0" applyNumberFormat="1" applyFill="1" applyBorder="1" applyAlignment="1" applyProtection="1">
      <alignment horizontal="center" vertical="center"/>
      <protection locked="0"/>
    </xf>
    <xf numFmtId="165" fontId="0" fillId="5" borderId="4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center"/>
    </xf>
    <xf numFmtId="0" fontId="0" fillId="0" borderId="0" xfId="0" applyFill="1" applyBorder="1"/>
    <xf numFmtId="0" fontId="0" fillId="0" borderId="4" xfId="0" applyFill="1" applyBorder="1" applyAlignment="1" applyProtection="1">
      <alignment vertical="center"/>
    </xf>
    <xf numFmtId="1" fontId="0" fillId="0" borderId="4" xfId="0" applyNumberForma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horizontal="center" vertical="center"/>
    </xf>
    <xf numFmtId="1" fontId="0" fillId="2" borderId="0" xfId="0" applyNumberFormat="1" applyFill="1" applyBorder="1" applyAlignment="1" applyProtection="1">
      <alignment horizontal="center" vertical="center"/>
    </xf>
    <xf numFmtId="2" fontId="0" fillId="2" borderId="0" xfId="0" applyNumberFormat="1" applyFill="1" applyBorder="1" applyAlignment="1" applyProtection="1">
      <alignment horizontal="center" vertical="center"/>
    </xf>
    <xf numFmtId="165" fontId="0" fillId="2" borderId="0" xfId="0" applyNumberFormat="1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vertical="center"/>
    </xf>
    <xf numFmtId="0" fontId="0" fillId="2" borderId="1" xfId="0" applyFill="1" applyBorder="1" applyAlignment="1" applyProtection="1">
      <alignment vertical="center"/>
    </xf>
    <xf numFmtId="0" fontId="0" fillId="2" borderId="3" xfId="0" applyFill="1" applyBorder="1" applyAlignment="1" applyProtection="1">
      <alignment vertical="center"/>
    </xf>
    <xf numFmtId="165" fontId="5" fillId="2" borderId="0" xfId="0" applyNumberFormat="1" applyFont="1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165" fontId="0" fillId="2" borderId="3" xfId="0" applyNumberFormat="1" applyFill="1" applyBorder="1" applyAlignment="1" applyProtection="1">
      <alignment horizontal="center" vertical="center"/>
    </xf>
    <xf numFmtId="165" fontId="0" fillId="2" borderId="0" xfId="0" applyNumberFormat="1" applyFill="1" applyBorder="1" applyAlignment="1" applyProtection="1">
      <alignment vertical="center"/>
    </xf>
    <xf numFmtId="0" fontId="0" fillId="2" borderId="0" xfId="0" applyFill="1"/>
    <xf numFmtId="0" fontId="0" fillId="6" borderId="0" xfId="0" applyFill="1" applyBorder="1" applyAlignment="1" applyProtection="1">
      <alignment horizontal="center" vertical="center"/>
    </xf>
    <xf numFmtId="0" fontId="0" fillId="0" borderId="6" xfId="0" applyFill="1" applyBorder="1" applyAlignment="1">
      <alignment vertical="center"/>
    </xf>
    <xf numFmtId="0" fontId="0" fillId="2" borderId="0" xfId="0" applyFill="1" applyBorder="1"/>
    <xf numFmtId="0" fontId="9" fillId="0" borderId="4" xfId="0" applyFont="1" applyFill="1" applyBorder="1" applyAlignment="1" applyProtection="1">
      <alignment vertical="center"/>
    </xf>
    <xf numFmtId="2" fontId="0" fillId="2" borderId="0" xfId="0" applyNumberForma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0" fillId="6" borderId="0" xfId="0" applyFill="1" applyBorder="1" applyAlignment="1">
      <alignment horizontal="center"/>
    </xf>
    <xf numFmtId="0" fontId="2" fillId="2" borderId="5" xfId="0" applyFont="1" applyFill="1" applyBorder="1"/>
    <xf numFmtId="0" fontId="0" fillId="2" borderId="5" xfId="0" applyFill="1" applyBorder="1" applyAlignment="1">
      <alignment vertical="center"/>
    </xf>
    <xf numFmtId="14" fontId="0" fillId="4" borderId="4" xfId="0" applyNumberForma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4" fontId="0" fillId="2" borderId="5" xfId="0" applyNumberFormat="1" applyFill="1" applyBorder="1" applyAlignment="1">
      <alignment horizontal="center" vertical="center"/>
    </xf>
    <xf numFmtId="20" fontId="0" fillId="4" borderId="7" xfId="0" applyNumberFormat="1" applyFill="1" applyBorder="1" applyAlignment="1" applyProtection="1">
      <alignment horizontal="center" vertical="center"/>
      <protection locked="0"/>
    </xf>
    <xf numFmtId="0" fontId="3" fillId="6" borderId="0" xfId="0" applyFont="1" applyFill="1" applyBorder="1" applyAlignment="1" applyProtection="1">
      <alignment horizontal="center" vertical="center"/>
    </xf>
    <xf numFmtId="14" fontId="3" fillId="4" borderId="4" xfId="0" applyNumberFormat="1" applyFont="1" applyFill="1" applyBorder="1" applyAlignment="1" applyProtection="1">
      <alignment horizontal="center" vertical="center"/>
      <protection locked="0"/>
    </xf>
    <xf numFmtId="14" fontId="3" fillId="6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165" fontId="10" fillId="2" borderId="0" xfId="0" applyNumberFormat="1" applyFont="1" applyFill="1" applyBorder="1" applyAlignment="1" applyProtection="1">
      <alignment horizontal="center" vertical="center"/>
    </xf>
    <xf numFmtId="0" fontId="0" fillId="2" borderId="0" xfId="0" applyFill="1" applyProtection="1"/>
    <xf numFmtId="0" fontId="0" fillId="0" borderId="0" xfId="0" applyProtection="1"/>
    <xf numFmtId="0" fontId="2" fillId="0" borderId="4" xfId="0" applyFont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0" fillId="0" borderId="0" xfId="0" applyBorder="1" applyProtection="1"/>
    <xf numFmtId="165" fontId="0" fillId="0" borderId="4" xfId="0" applyNumberForma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5" fillId="2" borderId="0" xfId="0" applyFont="1" applyFill="1" applyBorder="1" applyAlignment="1" applyProtection="1">
      <alignment horizontal="center" vertical="center"/>
    </xf>
    <xf numFmtId="2" fontId="0" fillId="0" borderId="4" xfId="0" applyNumberFormat="1" applyFill="1" applyBorder="1" applyAlignment="1" applyProtection="1">
      <alignment horizontal="center" vertical="center"/>
    </xf>
    <xf numFmtId="1" fontId="0" fillId="0" borderId="0" xfId="0" applyNumberFormat="1" applyBorder="1" applyAlignment="1" applyProtection="1">
      <alignment horizontal="center"/>
    </xf>
    <xf numFmtId="1" fontId="0" fillId="0" borderId="0" xfId="0" applyNumberFormat="1" applyAlignment="1" applyProtection="1">
      <alignment horizontal="center"/>
    </xf>
    <xf numFmtId="2" fontId="0" fillId="0" borderId="0" xfId="0" applyNumberFormat="1" applyBorder="1" applyAlignment="1" applyProtection="1">
      <alignment horizontal="center"/>
    </xf>
    <xf numFmtId="2" fontId="0" fillId="0" borderId="0" xfId="0" applyNumberFormat="1" applyAlignment="1" applyProtection="1">
      <alignment horizontal="center"/>
    </xf>
    <xf numFmtId="0" fontId="0" fillId="2" borderId="2" xfId="0" applyFill="1" applyBorder="1" applyAlignment="1" applyProtection="1">
      <alignment vertical="center"/>
    </xf>
    <xf numFmtId="0" fontId="2" fillId="0" borderId="7" xfId="0" applyFont="1" applyBorder="1" applyAlignment="1" applyProtection="1">
      <alignment horizontal="center" vertical="center"/>
    </xf>
    <xf numFmtId="165" fontId="0" fillId="0" borderId="4" xfId="0" applyNumberFormat="1" applyBorder="1" applyProtection="1"/>
    <xf numFmtId="165" fontId="0" fillId="0" borderId="4" xfId="0" applyNumberFormat="1" applyBorder="1" applyAlignment="1" applyProtection="1">
      <alignment horizontal="center" vertical="center"/>
    </xf>
    <xf numFmtId="0" fontId="0" fillId="2" borderId="0" xfId="0" applyFill="1" applyBorder="1" applyProtection="1"/>
    <xf numFmtId="166" fontId="0" fillId="0" borderId="0" xfId="0" applyNumberFormat="1" applyAlignment="1" applyProtection="1">
      <alignment horizontal="center"/>
    </xf>
    <xf numFmtId="165" fontId="0" fillId="0" borderId="8" xfId="0" applyNumberFormat="1" applyBorder="1" applyAlignment="1" applyProtection="1">
      <alignment horizontal="center" vertical="center"/>
    </xf>
    <xf numFmtId="166" fontId="0" fillId="0" borderId="0" xfId="0" applyNumberFormat="1" applyBorder="1" applyAlignment="1" applyProtection="1">
      <alignment horizontal="center"/>
    </xf>
    <xf numFmtId="165" fontId="2" fillId="0" borderId="9" xfId="0" applyNumberFormat="1" applyFont="1" applyBorder="1" applyAlignment="1" applyProtection="1">
      <alignment horizontal="center" vertical="center"/>
    </xf>
    <xf numFmtId="166" fontId="0" fillId="0" borderId="0" xfId="0" applyNumberFormat="1" applyFill="1" applyBorder="1" applyAlignment="1" applyProtection="1">
      <alignment horizontal="center" vertical="center"/>
    </xf>
    <xf numFmtId="165" fontId="0" fillId="0" borderId="7" xfId="0" applyNumberFormat="1" applyBorder="1" applyAlignment="1" applyProtection="1">
      <alignment horizontal="center" vertical="center"/>
    </xf>
    <xf numFmtId="165" fontId="0" fillId="3" borderId="0" xfId="0" applyNumberFormat="1" applyFill="1" applyBorder="1" applyAlignment="1" applyProtection="1">
      <alignment horizontal="center" vertical="center"/>
    </xf>
    <xf numFmtId="165" fontId="0" fillId="0" borderId="10" xfId="0" applyNumberFormat="1" applyBorder="1" applyProtection="1"/>
    <xf numFmtId="165" fontId="12" fillId="0" borderId="9" xfId="0" applyNumberFormat="1" applyFont="1" applyBorder="1" applyAlignment="1" applyProtection="1">
      <alignment horizontal="center" vertical="center"/>
    </xf>
    <xf numFmtId="2" fontId="5" fillId="2" borderId="0" xfId="0" applyNumberFormat="1" applyFont="1" applyFill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</xf>
    <xf numFmtId="165" fontId="0" fillId="0" borderId="7" xfId="0" applyNumberFormat="1" applyBorder="1" applyProtection="1"/>
    <xf numFmtId="0" fontId="2" fillId="0" borderId="10" xfId="0" applyFont="1" applyBorder="1" applyProtection="1"/>
    <xf numFmtId="0" fontId="0" fillId="0" borderId="4" xfId="0" applyBorder="1" applyProtection="1"/>
    <xf numFmtId="0" fontId="2" fillId="0" borderId="4" xfId="0" applyFont="1" applyBorder="1" applyProtection="1"/>
    <xf numFmtId="0" fontId="2" fillId="0" borderId="4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vertical="center"/>
    </xf>
    <xf numFmtId="0" fontId="0" fillId="0" borderId="4" xfId="0" applyBorder="1" applyAlignment="1" applyProtection="1">
      <alignment horizontal="center" vertical="center"/>
    </xf>
    <xf numFmtId="0" fontId="3" fillId="0" borderId="4" xfId="0" applyFont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0" fillId="2" borderId="11" xfId="0" applyFill="1" applyBorder="1" applyAlignment="1" applyProtection="1">
      <alignment vertical="center"/>
    </xf>
    <xf numFmtId="0" fontId="3" fillId="0" borderId="4" xfId="0" applyFont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165" fontId="0" fillId="0" borderId="8" xfId="0" applyNumberFormat="1" applyBorder="1" applyProtection="1"/>
    <xf numFmtId="0" fontId="7" fillId="2" borderId="0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165" fontId="0" fillId="2" borderId="12" xfId="0" applyNumberFormat="1" applyFill="1" applyBorder="1" applyAlignment="1" applyProtection="1">
      <alignment vertical="center"/>
    </xf>
    <xf numFmtId="165" fontId="0" fillId="2" borderId="2" xfId="0" applyNumberFormat="1" applyFill="1" applyBorder="1" applyAlignment="1" applyProtection="1">
      <alignment vertical="center"/>
    </xf>
    <xf numFmtId="0" fontId="0" fillId="2" borderId="12" xfId="0" applyFill="1" applyBorder="1" applyAlignment="1" applyProtection="1">
      <alignment vertical="center"/>
    </xf>
    <xf numFmtId="165" fontId="3" fillId="0" borderId="8" xfId="0" applyNumberFormat="1" applyFont="1" applyBorder="1" applyAlignment="1" applyProtection="1">
      <alignment horizontal="center" vertical="center"/>
    </xf>
    <xf numFmtId="14" fontId="0" fillId="2" borderId="3" xfId="0" applyNumberFormat="1" applyFill="1" applyBorder="1" applyAlignment="1">
      <alignment horizontal="center" vertical="center"/>
    </xf>
    <xf numFmtId="0" fontId="3" fillId="0" borderId="4" xfId="0" applyFont="1" applyFill="1" applyBorder="1" applyAlignment="1" applyProtection="1">
      <alignment vertical="center"/>
    </xf>
    <xf numFmtId="0" fontId="7" fillId="5" borderId="4" xfId="0" applyFont="1" applyFill="1" applyBorder="1" applyAlignment="1" applyProtection="1">
      <alignment horizontal="center" vertical="center"/>
      <protection locked="0"/>
    </xf>
    <xf numFmtId="165" fontId="11" fillId="0" borderId="4" xfId="0" applyNumberFormat="1" applyFont="1" applyBorder="1" applyAlignment="1" applyProtection="1">
      <alignment horizontal="left" vertical="center"/>
    </xf>
    <xf numFmtId="0" fontId="2" fillId="3" borderId="8" xfId="0" applyFont="1" applyFill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3" fillId="4" borderId="7" xfId="0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4" borderId="7" xfId="0" applyNumberFormat="1" applyFill="1" applyBorder="1" applyAlignment="1" applyProtection="1">
      <alignment horizontal="center" vertical="center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65" fontId="0" fillId="0" borderId="9" xfId="0" applyNumberFormat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vertical="center"/>
    </xf>
    <xf numFmtId="0" fontId="7" fillId="2" borderId="3" xfId="0" applyFont="1" applyFill="1" applyBorder="1" applyAlignment="1" applyProtection="1">
      <alignment vertical="center"/>
    </xf>
    <xf numFmtId="164" fontId="0" fillId="2" borderId="1" xfId="0" applyNumberFormat="1" applyFill="1" applyBorder="1" applyAlignment="1" applyProtection="1">
      <alignment horizontal="center" vertical="center"/>
    </xf>
    <xf numFmtId="1" fontId="0" fillId="2" borderId="5" xfId="0" applyNumberFormat="1" applyFill="1" applyBorder="1" applyAlignment="1" applyProtection="1">
      <alignment horizontal="center" vertical="center"/>
    </xf>
    <xf numFmtId="2" fontId="0" fillId="2" borderId="5" xfId="0" applyNumberFormat="1" applyFill="1" applyBorder="1" applyAlignment="1" applyProtection="1">
      <alignment horizontal="center" vertical="center"/>
    </xf>
    <xf numFmtId="165" fontId="0" fillId="2" borderId="5" xfId="0" applyNumberFormat="1" applyFill="1" applyBorder="1" applyAlignment="1" applyProtection="1">
      <alignment horizontal="center" vertical="center"/>
    </xf>
    <xf numFmtId="165" fontId="11" fillId="2" borderId="5" xfId="0" applyNumberFormat="1" applyFont="1" applyFill="1" applyBorder="1" applyAlignment="1" applyProtection="1">
      <alignment horizontal="center" vertical="center"/>
    </xf>
    <xf numFmtId="165" fontId="0" fillId="2" borderId="1" xfId="0" applyNumberFormat="1" applyFill="1" applyBorder="1" applyAlignment="1" applyProtection="1">
      <alignment horizontal="center" vertical="center"/>
    </xf>
    <xf numFmtId="165" fontId="10" fillId="2" borderId="1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</xf>
    <xf numFmtId="165" fontId="2" fillId="4" borderId="13" xfId="0" applyNumberFormat="1" applyFont="1" applyFill="1" applyBorder="1" applyAlignment="1" applyProtection="1">
      <alignment horizontal="center" vertical="center"/>
      <protection locked="0"/>
    </xf>
    <xf numFmtId="165" fontId="0" fillId="4" borderId="7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  <xf numFmtId="0" fontId="0" fillId="0" borderId="19" xfId="0" applyFill="1" applyBorder="1" applyAlignment="1" applyProtection="1">
      <alignment vertical="center"/>
    </xf>
    <xf numFmtId="166" fontId="0" fillId="0" borderId="20" xfId="0" applyNumberFormat="1" applyBorder="1" applyAlignment="1" applyProtection="1">
      <alignment horizontal="center"/>
    </xf>
    <xf numFmtId="0" fontId="0" fillId="0" borderId="21" xfId="0" applyBorder="1" applyAlignment="1">
      <alignment horizontal="left"/>
    </xf>
    <xf numFmtId="0" fontId="0" fillId="0" borderId="22" xfId="0" applyFill="1" applyBorder="1" applyAlignment="1" applyProtection="1">
      <alignment vertical="center"/>
    </xf>
    <xf numFmtId="0" fontId="0" fillId="0" borderId="23" xfId="0" applyBorder="1" applyAlignment="1">
      <alignment horizontal="left"/>
    </xf>
    <xf numFmtId="0" fontId="0" fillId="0" borderId="24" xfId="0" applyFill="1" applyBorder="1" applyAlignment="1" applyProtection="1">
      <alignment vertical="center"/>
    </xf>
    <xf numFmtId="166" fontId="0" fillId="0" borderId="25" xfId="0" applyNumberFormat="1" applyFill="1" applyBorder="1" applyAlignment="1" applyProtection="1">
      <alignment horizontal="center" vertical="center"/>
    </xf>
    <xf numFmtId="0" fontId="0" fillId="0" borderId="26" xfId="0" applyBorder="1" applyAlignment="1">
      <alignment horizontal="left"/>
    </xf>
    <xf numFmtId="0" fontId="2" fillId="0" borderId="0" xfId="0" applyFont="1" applyProtection="1"/>
    <xf numFmtId="0" fontId="2" fillId="0" borderId="23" xfId="0" applyFont="1" applyBorder="1" applyAlignment="1">
      <alignment horizontal="left"/>
    </xf>
    <xf numFmtId="1" fontId="0" fillId="0" borderId="4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 applyProtection="1">
      <alignment horizontal="center" vertical="center"/>
    </xf>
    <xf numFmtId="1" fontId="0" fillId="0" borderId="6" xfId="0" applyNumberFormat="1" applyFill="1" applyBorder="1" applyAlignment="1" applyProtection="1">
      <alignment horizontal="center" vertical="center"/>
    </xf>
    <xf numFmtId="165" fontId="2" fillId="4" borderId="27" xfId="0" applyNumberFormat="1" applyFont="1" applyFill="1" applyBorder="1" applyAlignment="1" applyProtection="1">
      <alignment horizontal="center" vertical="center"/>
      <protection locked="0"/>
    </xf>
    <xf numFmtId="166" fontId="0" fillId="4" borderId="4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/>
    <xf numFmtId="0" fontId="3" fillId="0" borderId="0" xfId="0" applyFont="1" applyFill="1" applyBorder="1"/>
    <xf numFmtId="0" fontId="2" fillId="15" borderId="19" xfId="0" applyFont="1" applyFill="1" applyBorder="1" applyProtection="1"/>
    <xf numFmtId="0" fontId="0" fillId="15" borderId="20" xfId="0" applyFill="1" applyBorder="1" applyProtection="1"/>
    <xf numFmtId="0" fontId="0" fillId="15" borderId="21" xfId="0" applyFill="1" applyBorder="1" applyAlignment="1">
      <alignment horizontal="left"/>
    </xf>
    <xf numFmtId="0" fontId="0" fillId="15" borderId="22" xfId="0" applyFill="1" applyBorder="1" applyProtection="1"/>
    <xf numFmtId="0" fontId="0" fillId="15" borderId="0" xfId="0" applyFill="1" applyBorder="1" applyProtection="1"/>
    <xf numFmtId="0" fontId="0" fillId="15" borderId="23" xfId="0" applyFill="1" applyBorder="1" applyAlignment="1">
      <alignment horizontal="left"/>
    </xf>
    <xf numFmtId="0" fontId="2" fillId="15" borderId="22" xfId="0" applyFont="1" applyFill="1" applyBorder="1" applyProtection="1"/>
    <xf numFmtId="0" fontId="0" fillId="15" borderId="22" xfId="0" applyFont="1" applyFill="1" applyBorder="1" applyProtection="1"/>
    <xf numFmtId="0" fontId="3" fillId="15" borderId="22" xfId="0" applyFont="1" applyFill="1" applyBorder="1" applyProtection="1"/>
    <xf numFmtId="0" fontId="3" fillId="15" borderId="0" xfId="0" applyFont="1" applyFill="1" applyBorder="1" applyProtection="1"/>
    <xf numFmtId="0" fontId="3" fillId="15" borderId="24" xfId="0" applyFont="1" applyFill="1" applyBorder="1" applyProtection="1"/>
    <xf numFmtId="0" fontId="0" fillId="15" borderId="25" xfId="0" applyFill="1" applyBorder="1" applyProtection="1"/>
    <xf numFmtId="0" fontId="3" fillId="15" borderId="25" xfId="0" applyFont="1" applyFill="1" applyBorder="1" applyProtection="1"/>
    <xf numFmtId="0" fontId="0" fillId="15" borderId="26" xfId="0" applyFill="1" applyBorder="1" applyAlignment="1">
      <alignment horizontal="left"/>
    </xf>
    <xf numFmtId="0" fontId="0" fillId="0" borderId="0" xfId="0" applyAlignment="1">
      <alignment horizontal="center"/>
    </xf>
    <xf numFmtId="165" fontId="0" fillId="4" borderId="5" xfId="0" applyNumberFormat="1" applyFill="1" applyBorder="1" applyAlignment="1" applyProtection="1">
      <alignment horizontal="center" vertical="center"/>
      <protection locked="0"/>
    </xf>
    <xf numFmtId="165" fontId="2" fillId="4" borderId="28" xfId="0" applyNumberFormat="1" applyFont="1" applyFill="1" applyBorder="1" applyAlignment="1" applyProtection="1">
      <alignment horizontal="center" vertical="center"/>
      <protection locked="0"/>
    </xf>
    <xf numFmtId="167" fontId="0" fillId="3" borderId="4" xfId="1" applyNumberFormat="1" applyFont="1" applyFill="1" applyBorder="1" applyAlignment="1">
      <alignment horizontal="center" vertical="center"/>
    </xf>
    <xf numFmtId="165" fontId="2" fillId="0" borderId="8" xfId="0" applyNumberFormat="1" applyFont="1" applyBorder="1" applyAlignment="1" applyProtection="1">
      <alignment horizontal="center"/>
    </xf>
    <xf numFmtId="0" fontId="0" fillId="0" borderId="0" xfId="0" applyAlignment="1"/>
    <xf numFmtId="0" fontId="0" fillId="2" borderId="15" xfId="0" applyFill="1" applyBorder="1" applyAlignment="1" applyProtection="1">
      <alignment vertical="center"/>
      <protection locked="0"/>
    </xf>
    <xf numFmtId="0" fontId="0" fillId="2" borderId="16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0" fontId="0" fillId="2" borderId="17" xfId="0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vertical="center"/>
      <protection locked="0"/>
    </xf>
    <xf numFmtId="165" fontId="2" fillId="4" borderId="29" xfId="0" applyNumberFormat="1" applyFont="1" applyFill="1" applyBorder="1" applyAlignment="1" applyProtection="1">
      <alignment horizontal="center" vertical="center"/>
      <protection locked="0"/>
    </xf>
    <xf numFmtId="167" fontId="2" fillId="0" borderId="9" xfId="1" applyNumberFormat="1" applyFont="1" applyBorder="1" applyAlignment="1" applyProtection="1">
      <alignment horizontal="center"/>
    </xf>
    <xf numFmtId="0" fontId="0" fillId="4" borderId="7" xfId="0" applyFill="1" applyBorder="1" applyAlignment="1" applyProtection="1">
      <alignment horizontal="center" vertical="center"/>
      <protection locked="0"/>
    </xf>
    <xf numFmtId="9" fontId="0" fillId="4" borderId="14" xfId="1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4" borderId="8" xfId="0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/>
    </xf>
    <xf numFmtId="0" fontId="2" fillId="4" borderId="14" xfId="0" applyFont="1" applyFill="1" applyBorder="1" applyAlignment="1" applyProtection="1">
      <alignment horizontal="center" vertical="center"/>
      <protection locked="0"/>
    </xf>
    <xf numFmtId="165" fontId="3" fillId="0" borderId="9" xfId="1" applyNumberFormat="1" applyFont="1" applyBorder="1" applyAlignment="1" applyProtection="1">
      <alignment horizontal="center"/>
    </xf>
    <xf numFmtId="0" fontId="2" fillId="0" borderId="0" xfId="0" applyFont="1"/>
    <xf numFmtId="0" fontId="17" fillId="0" borderId="0" xfId="0" applyFont="1"/>
    <xf numFmtId="17" fontId="2" fillId="0" borderId="0" xfId="0" quotePrefix="1" applyNumberFormat="1" applyFont="1"/>
    <xf numFmtId="0" fontId="7" fillId="4" borderId="10" xfId="0" applyFont="1" applyFill="1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left" vertical="top" wrapText="1"/>
    </xf>
    <xf numFmtId="0" fontId="3" fillId="0" borderId="16" xfId="0" applyFont="1" applyBorder="1" applyProtection="1"/>
    <xf numFmtId="0" fontId="3" fillId="0" borderId="1" xfId="0" applyFont="1" applyBorder="1" applyProtection="1"/>
    <xf numFmtId="0" fontId="3" fillId="0" borderId="3" xfId="0" applyFont="1" applyBorder="1" applyProtection="1"/>
    <xf numFmtId="0" fontId="3" fillId="12" borderId="10" xfId="0" applyFont="1" applyFill="1" applyBorder="1" applyAlignment="1" applyProtection="1">
      <alignment horizontal="left" vertical="top" wrapText="1"/>
      <protection locked="0"/>
    </xf>
    <xf numFmtId="0" fontId="3" fillId="12" borderId="6" xfId="0" applyFont="1" applyFill="1" applyBorder="1" applyAlignment="1" applyProtection="1">
      <alignment horizontal="left" vertical="top" wrapText="1"/>
      <protection locked="0"/>
    </xf>
    <xf numFmtId="0" fontId="3" fillId="0" borderId="16" xfId="0" applyFont="1" applyFill="1" applyBorder="1" applyAlignment="1" applyProtection="1">
      <alignment horizontal="left" vertical="top" wrapText="1"/>
    </xf>
    <xf numFmtId="0" fontId="3" fillId="0" borderId="17" xfId="0" applyFont="1" applyFill="1" applyBorder="1" applyAlignment="1" applyProtection="1">
      <alignment horizontal="left" vertical="top" wrapText="1"/>
    </xf>
    <xf numFmtId="0" fontId="3" fillId="0" borderId="18" xfId="0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 applyProtection="1">
      <alignment horizontal="left" vertical="top" wrapText="1"/>
    </xf>
    <xf numFmtId="0" fontId="3" fillId="0" borderId="3" xfId="0" applyFont="1" applyFill="1" applyBorder="1" applyAlignment="1" applyProtection="1">
      <alignment horizontal="left" vertical="top" wrapText="1"/>
    </xf>
    <xf numFmtId="0" fontId="3" fillId="8" borderId="15" xfId="0" applyFont="1" applyFill="1" applyBorder="1" applyAlignment="1" applyProtection="1">
      <alignment horizontal="center" vertical="top" wrapText="1"/>
      <protection locked="0"/>
    </xf>
    <xf numFmtId="0" fontId="3" fillId="8" borderId="16" xfId="0" applyFont="1" applyFill="1" applyBorder="1" applyAlignment="1" applyProtection="1">
      <alignment horizontal="center" vertical="top" wrapText="1"/>
      <protection locked="0"/>
    </xf>
    <xf numFmtId="0" fontId="3" fillId="8" borderId="17" xfId="0" applyFont="1" applyFill="1" applyBorder="1" applyAlignment="1" applyProtection="1">
      <alignment horizontal="center" vertical="top" wrapText="1"/>
      <protection locked="0"/>
    </xf>
    <xf numFmtId="0" fontId="3" fillId="8" borderId="18" xfId="0" applyFont="1" applyFill="1" applyBorder="1" applyAlignment="1" applyProtection="1">
      <alignment horizontal="center" vertical="top" wrapText="1"/>
      <protection locked="0"/>
    </xf>
    <xf numFmtId="0" fontId="3" fillId="13" borderId="10" xfId="0" applyFont="1" applyFill="1" applyBorder="1" applyAlignment="1" applyProtection="1">
      <alignment horizontal="center" vertical="top" wrapText="1"/>
      <protection locked="0"/>
    </xf>
    <xf numFmtId="0" fontId="3" fillId="13" borderId="6" xfId="0" applyFont="1" applyFill="1" applyBorder="1" applyAlignment="1" applyProtection="1">
      <alignment horizontal="center" vertical="top" wrapText="1"/>
      <protection locked="0"/>
    </xf>
    <xf numFmtId="0" fontId="3" fillId="8" borderId="10" xfId="0" applyFont="1" applyFill="1" applyBorder="1" applyAlignment="1" applyProtection="1">
      <alignment horizontal="left" vertical="top" wrapText="1"/>
      <protection locked="0"/>
    </xf>
    <xf numFmtId="0" fontId="3" fillId="8" borderId="6" xfId="0" applyFont="1" applyFill="1" applyBorder="1" applyAlignment="1" applyProtection="1">
      <alignment horizontal="left" vertical="top" wrapText="1"/>
      <protection locked="0"/>
    </xf>
    <xf numFmtId="0" fontId="3" fillId="9" borderId="10" xfId="0" applyFont="1" applyFill="1" applyBorder="1" applyAlignment="1" applyProtection="1">
      <alignment horizontal="center" vertical="top" wrapText="1"/>
      <protection locked="0"/>
    </xf>
    <xf numFmtId="0" fontId="3" fillId="9" borderId="6" xfId="0" applyFont="1" applyFill="1" applyBorder="1" applyAlignment="1" applyProtection="1">
      <alignment horizontal="center" vertical="top" wrapText="1"/>
      <protection locked="0"/>
    </xf>
    <xf numFmtId="0" fontId="3" fillId="10" borderId="10" xfId="0" applyFont="1" applyFill="1" applyBorder="1" applyAlignment="1" applyProtection="1">
      <alignment horizontal="center" vertical="top" wrapText="1"/>
      <protection locked="0"/>
    </xf>
    <xf numFmtId="0" fontId="3" fillId="10" borderId="6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horizontal="center" vertical="center"/>
    </xf>
    <xf numFmtId="0" fontId="3" fillId="11" borderId="15" xfId="0" applyFont="1" applyFill="1" applyBorder="1" applyAlignment="1" applyProtection="1">
      <alignment horizontal="center" vertical="top" wrapText="1"/>
      <protection locked="0"/>
    </xf>
    <xf numFmtId="0" fontId="3" fillId="11" borderId="16" xfId="0" applyFont="1" applyFill="1" applyBorder="1" applyAlignment="1" applyProtection="1">
      <alignment horizontal="center" vertical="top" wrapText="1"/>
      <protection locked="0"/>
    </xf>
    <xf numFmtId="0" fontId="3" fillId="11" borderId="1" xfId="0" applyFont="1" applyFill="1" applyBorder="1" applyAlignment="1" applyProtection="1">
      <alignment horizontal="center" vertical="top" wrapText="1"/>
      <protection locked="0"/>
    </xf>
    <xf numFmtId="0" fontId="3" fillId="11" borderId="3" xfId="0" applyFont="1" applyFill="1" applyBorder="1" applyAlignment="1" applyProtection="1">
      <alignment horizontal="center" vertical="top" wrapText="1"/>
      <protection locked="0"/>
    </xf>
    <xf numFmtId="0" fontId="3" fillId="11" borderId="17" xfId="0" applyFont="1" applyFill="1" applyBorder="1" applyAlignment="1" applyProtection="1">
      <alignment horizontal="center" vertical="top" wrapText="1"/>
      <protection locked="0"/>
    </xf>
    <xf numFmtId="0" fontId="3" fillId="11" borderId="18" xfId="0" applyFont="1" applyFill="1" applyBorder="1" applyAlignment="1" applyProtection="1">
      <alignment horizontal="center" vertical="top" wrapText="1"/>
      <protection locked="0"/>
    </xf>
    <xf numFmtId="0" fontId="3" fillId="7" borderId="1" xfId="0" applyFont="1" applyFill="1" applyBorder="1" applyAlignment="1" applyProtection="1">
      <alignment horizontal="left" vertical="top" wrapText="1"/>
      <protection locked="0"/>
    </xf>
    <xf numFmtId="0" fontId="3" fillId="7" borderId="3" xfId="0" applyFont="1" applyFill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3" fillId="14" borderId="15" xfId="0" applyFont="1" applyFill="1" applyBorder="1" applyAlignment="1" applyProtection="1">
      <alignment horizontal="center" vertical="top" wrapText="1"/>
      <protection locked="0"/>
    </xf>
    <xf numFmtId="0" fontId="3" fillId="14" borderId="16" xfId="0" applyFont="1" applyFill="1" applyBorder="1" applyAlignment="1" applyProtection="1">
      <alignment horizontal="center" vertical="top" wrapText="1"/>
      <protection locked="0"/>
    </xf>
    <xf numFmtId="0" fontId="3" fillId="14" borderId="17" xfId="0" applyFont="1" applyFill="1" applyBorder="1" applyAlignment="1" applyProtection="1">
      <alignment horizontal="center" vertical="top" wrapText="1"/>
      <protection locked="0"/>
    </xf>
    <xf numFmtId="0" fontId="3" fillId="14" borderId="18" xfId="0" applyFont="1" applyFill="1" applyBorder="1" applyAlignment="1" applyProtection="1">
      <alignment horizontal="center" vertical="top" wrapText="1"/>
      <protection locked="0"/>
    </xf>
    <xf numFmtId="0" fontId="3" fillId="12" borderId="15" xfId="0" applyFont="1" applyFill="1" applyBorder="1" applyAlignment="1" applyProtection="1">
      <alignment horizontal="left" vertical="top" wrapText="1"/>
      <protection locked="0"/>
    </xf>
    <xf numFmtId="0" fontId="3" fillId="12" borderId="16" xfId="0" applyFont="1" applyFill="1" applyBorder="1" applyAlignment="1" applyProtection="1">
      <alignment horizontal="left" vertical="top" wrapText="1"/>
      <protection locked="0"/>
    </xf>
    <xf numFmtId="0" fontId="3" fillId="12" borderId="17" xfId="0" applyFont="1" applyFill="1" applyBorder="1" applyAlignment="1" applyProtection="1">
      <alignment horizontal="left" vertical="top" wrapText="1"/>
      <protection locked="0"/>
    </xf>
    <xf numFmtId="0" fontId="3" fillId="12" borderId="18" xfId="0" applyFont="1" applyFill="1" applyBorder="1" applyAlignment="1" applyProtection="1">
      <alignment horizontal="left" vertical="top" wrapText="1"/>
      <protection locked="0"/>
    </xf>
    <xf numFmtId="0" fontId="3" fillId="13" borderId="15" xfId="0" applyFont="1" applyFill="1" applyBorder="1" applyAlignment="1" applyProtection="1">
      <alignment horizontal="left" vertical="top" wrapText="1"/>
      <protection locked="0"/>
    </xf>
    <xf numFmtId="0" fontId="3" fillId="13" borderId="16" xfId="0" applyFont="1" applyFill="1" applyBorder="1" applyAlignment="1" applyProtection="1">
      <alignment horizontal="left" vertical="top" wrapText="1"/>
      <protection locked="0"/>
    </xf>
    <xf numFmtId="0" fontId="3" fillId="13" borderId="1" xfId="0" applyFont="1" applyFill="1" applyBorder="1" applyAlignment="1" applyProtection="1">
      <alignment horizontal="left" vertical="top" wrapText="1"/>
      <protection locked="0"/>
    </xf>
    <xf numFmtId="0" fontId="3" fillId="13" borderId="3" xfId="0" applyFont="1" applyFill="1" applyBorder="1" applyAlignment="1" applyProtection="1">
      <alignment horizontal="left" vertical="top" wrapText="1"/>
      <protection locked="0"/>
    </xf>
    <xf numFmtId="0" fontId="3" fillId="13" borderId="17" xfId="0" applyFont="1" applyFill="1" applyBorder="1" applyAlignment="1" applyProtection="1">
      <alignment horizontal="left" vertical="top" wrapText="1"/>
      <protection locked="0"/>
    </xf>
    <xf numFmtId="0" fontId="3" fillId="13" borderId="18" xfId="0" applyFont="1" applyFill="1" applyBorder="1" applyAlignment="1" applyProtection="1">
      <alignment horizontal="left" vertical="top" wrapText="1"/>
      <protection locked="0"/>
    </xf>
    <xf numFmtId="0" fontId="3" fillId="14" borderId="15" xfId="0" applyFont="1" applyFill="1" applyBorder="1" applyAlignment="1" applyProtection="1">
      <alignment horizontal="left" vertical="top" wrapText="1"/>
      <protection locked="0"/>
    </xf>
    <xf numFmtId="0" fontId="3" fillId="14" borderId="16" xfId="0" applyFont="1" applyFill="1" applyBorder="1" applyAlignment="1" applyProtection="1">
      <alignment horizontal="left" vertical="top" wrapText="1"/>
      <protection locked="0"/>
    </xf>
    <xf numFmtId="0" fontId="3" fillId="14" borderId="1" xfId="0" applyFont="1" applyFill="1" applyBorder="1" applyAlignment="1" applyProtection="1">
      <alignment horizontal="left" vertical="top" wrapText="1"/>
      <protection locked="0"/>
    </xf>
    <xf numFmtId="0" fontId="3" fillId="14" borderId="3" xfId="0" applyFont="1" applyFill="1" applyBorder="1" applyAlignment="1" applyProtection="1">
      <alignment horizontal="left" vertical="top" wrapText="1"/>
      <protection locked="0"/>
    </xf>
    <xf numFmtId="0" fontId="3" fillId="14" borderId="17" xfId="0" applyFont="1" applyFill="1" applyBorder="1" applyAlignment="1" applyProtection="1">
      <alignment horizontal="left" vertical="top" wrapText="1"/>
      <protection locked="0"/>
    </xf>
    <xf numFmtId="0" fontId="3" fillId="14" borderId="18" xfId="0" applyFont="1" applyFill="1" applyBorder="1" applyAlignment="1" applyProtection="1">
      <alignment horizontal="left" vertical="top" wrapText="1"/>
      <protection locked="0"/>
    </xf>
    <xf numFmtId="0" fontId="3" fillId="7" borderId="15" xfId="0" applyFont="1" applyFill="1" applyBorder="1" applyAlignment="1" applyProtection="1">
      <alignment horizontal="left" vertical="top" wrapText="1"/>
      <protection locked="0"/>
    </xf>
    <xf numFmtId="0" fontId="3" fillId="7" borderId="16" xfId="0" applyFont="1" applyFill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3" fillId="8" borderId="15" xfId="0" applyFont="1" applyFill="1" applyBorder="1" applyAlignment="1" applyProtection="1">
      <alignment horizontal="left" vertical="top" wrapText="1"/>
      <protection locked="0"/>
    </xf>
    <xf numFmtId="0" fontId="3" fillId="8" borderId="16" xfId="0" applyFont="1" applyFill="1" applyBorder="1" applyAlignment="1" applyProtection="1">
      <alignment horizontal="left" vertical="top" wrapText="1"/>
      <protection locked="0"/>
    </xf>
    <xf numFmtId="0" fontId="3" fillId="8" borderId="1" xfId="0" applyFont="1" applyFill="1" applyBorder="1" applyAlignment="1" applyProtection="1">
      <alignment horizontal="left" vertical="top" wrapText="1"/>
      <protection locked="0"/>
    </xf>
    <xf numFmtId="0" fontId="3" fillId="8" borderId="3" xfId="0" applyFont="1" applyFill="1" applyBorder="1" applyAlignment="1" applyProtection="1">
      <alignment horizontal="left" vertical="top" wrapText="1"/>
      <protection locked="0"/>
    </xf>
    <xf numFmtId="0" fontId="3" fillId="8" borderId="17" xfId="0" applyFont="1" applyFill="1" applyBorder="1" applyAlignment="1" applyProtection="1">
      <alignment horizontal="left" vertical="top" wrapText="1"/>
      <protection locked="0"/>
    </xf>
    <xf numFmtId="0" fontId="3" fillId="8" borderId="18" xfId="0" applyFont="1" applyFill="1" applyBorder="1" applyAlignment="1" applyProtection="1">
      <alignment horizontal="left" vertical="top" wrapText="1"/>
      <protection locked="0"/>
    </xf>
    <xf numFmtId="0" fontId="3" fillId="9" borderId="15" xfId="0" applyFont="1" applyFill="1" applyBorder="1" applyAlignment="1" applyProtection="1">
      <alignment horizontal="left" vertical="top" wrapText="1"/>
      <protection locked="0"/>
    </xf>
    <xf numFmtId="0" fontId="3" fillId="9" borderId="16" xfId="0" applyFont="1" applyFill="1" applyBorder="1" applyAlignment="1" applyProtection="1">
      <alignment horizontal="left" vertical="top" wrapText="1"/>
      <protection locked="0"/>
    </xf>
    <xf numFmtId="0" fontId="3" fillId="9" borderId="1" xfId="0" applyFont="1" applyFill="1" applyBorder="1" applyAlignment="1" applyProtection="1">
      <alignment horizontal="left" vertical="top" wrapText="1"/>
      <protection locked="0"/>
    </xf>
    <xf numFmtId="0" fontId="3" fillId="9" borderId="3" xfId="0" applyFont="1" applyFill="1" applyBorder="1" applyAlignment="1" applyProtection="1">
      <alignment horizontal="left" vertical="top" wrapText="1"/>
      <protection locked="0"/>
    </xf>
    <xf numFmtId="0" fontId="3" fillId="10" borderId="15" xfId="0" applyFont="1" applyFill="1" applyBorder="1" applyAlignment="1" applyProtection="1">
      <alignment horizontal="left" vertical="top" wrapText="1"/>
      <protection locked="0"/>
    </xf>
    <xf numFmtId="0" fontId="3" fillId="10" borderId="16" xfId="0" applyFont="1" applyFill="1" applyBorder="1" applyAlignment="1" applyProtection="1">
      <alignment horizontal="left" vertical="top" wrapText="1"/>
      <protection locked="0"/>
    </xf>
    <xf numFmtId="0" fontId="3" fillId="10" borderId="17" xfId="0" applyFont="1" applyFill="1" applyBorder="1" applyAlignment="1" applyProtection="1">
      <alignment horizontal="left" vertical="top" wrapText="1"/>
      <protection locked="0"/>
    </xf>
    <xf numFmtId="0" fontId="3" fillId="10" borderId="18" xfId="0" applyFont="1" applyFill="1" applyBorder="1" applyAlignment="1" applyProtection="1">
      <alignment horizontal="left" vertical="top" wrapText="1"/>
      <protection locked="0"/>
    </xf>
    <xf numFmtId="0" fontId="3" fillId="11" borderId="15" xfId="0" applyFont="1" applyFill="1" applyBorder="1" applyAlignment="1" applyProtection="1">
      <alignment horizontal="left" vertical="top" wrapText="1"/>
      <protection locked="0"/>
    </xf>
    <xf numFmtId="0" fontId="3" fillId="11" borderId="16" xfId="0" applyFont="1" applyFill="1" applyBorder="1" applyAlignment="1" applyProtection="1">
      <alignment horizontal="left" vertical="top" wrapText="1"/>
      <protection locked="0"/>
    </xf>
    <xf numFmtId="0" fontId="3" fillId="11" borderId="1" xfId="0" applyFont="1" applyFill="1" applyBorder="1" applyAlignment="1" applyProtection="1">
      <alignment horizontal="left" vertical="top" wrapText="1"/>
      <protection locked="0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1" borderId="17" xfId="0" applyFont="1" applyFill="1" applyBorder="1" applyAlignment="1" applyProtection="1">
      <alignment horizontal="left" vertical="top" wrapText="1"/>
      <protection locked="0"/>
    </xf>
    <xf numFmtId="0" fontId="3" fillId="11" borderId="18" xfId="0" applyFont="1" applyFill="1" applyBorder="1" applyAlignment="1" applyProtection="1">
      <alignment horizontal="left" vertical="top" wrapText="1"/>
      <protection locked="0"/>
    </xf>
  </cellXfs>
  <cellStyles count="2">
    <cellStyle name="Normal" xfId="0" builtinId="0"/>
    <cellStyle name="Percent" xfId="1" builtinId="5"/>
  </cellStyles>
  <dxfs count="125">
    <dxf>
      <font>
        <condense val="0"/>
        <extend val="0"/>
        <color indexed="10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condense val="0"/>
        <extend val="0"/>
        <color indexed="52"/>
      </font>
      <fill>
        <patternFill>
          <bgColor indexed="34"/>
        </patternFill>
      </fill>
    </dxf>
    <dxf>
      <fill>
        <patternFill>
          <bgColor indexed="45"/>
        </patternFill>
      </fill>
    </dxf>
    <dxf>
      <font>
        <color indexed="17"/>
      </font>
      <fill>
        <patternFill>
          <bgColor indexed="42"/>
        </patternFill>
      </fill>
    </dxf>
    <dxf>
      <font>
        <condense val="0"/>
        <extend val="0"/>
        <color indexed="52"/>
      </font>
      <fill>
        <patternFill>
          <bgColor indexed="34"/>
        </patternFill>
      </fill>
    </dxf>
    <dxf>
      <fill>
        <patternFill>
          <bgColor indexed="45"/>
        </patternFill>
      </fill>
    </dxf>
    <dxf>
      <font>
        <color indexed="17"/>
      </font>
      <fill>
        <patternFill>
          <bgColor indexed="42"/>
        </patternFill>
      </fill>
    </dxf>
    <dxf>
      <font>
        <condense val="0"/>
        <extend val="0"/>
        <color indexed="52"/>
      </font>
      <fill>
        <patternFill>
          <bgColor indexed="34"/>
        </patternFill>
      </fill>
    </dxf>
    <dxf>
      <fill>
        <patternFill>
          <bgColor indexed="45"/>
        </patternFill>
      </fill>
    </dxf>
    <dxf>
      <font>
        <color indexed="17"/>
      </font>
      <fill>
        <patternFill>
          <bgColor indexed="42"/>
        </patternFill>
      </fill>
    </dxf>
    <dxf>
      <font>
        <condense val="0"/>
        <extend val="0"/>
        <color indexed="52"/>
      </font>
      <fill>
        <patternFill>
          <bgColor indexed="34"/>
        </patternFill>
      </fill>
    </dxf>
    <dxf>
      <fill>
        <patternFill>
          <bgColor indexed="45"/>
        </patternFill>
      </fill>
    </dxf>
    <dxf>
      <font>
        <color indexed="17"/>
      </font>
      <fill>
        <patternFill>
          <bgColor indexed="42"/>
        </patternFill>
      </fill>
    </dxf>
    <dxf>
      <font>
        <condense val="0"/>
        <extend val="0"/>
        <color indexed="53"/>
      </font>
      <fill>
        <patternFill>
          <bgColor indexed="34"/>
        </patternFill>
      </fill>
    </dxf>
    <dxf>
      <font>
        <color indexed="17"/>
      </font>
      <fill>
        <patternFill>
          <bgColor indexed="42"/>
        </patternFill>
      </fill>
    </dxf>
    <dxf>
      <font>
        <color indexed="20"/>
      </font>
      <fill>
        <patternFill>
          <bgColor indexed="45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rgb="FFFF6600"/>
      </font>
      <fill>
        <patternFill>
          <bgColor rgb="FFFFFF00"/>
        </patternFill>
      </fill>
    </dxf>
    <dxf>
      <font>
        <color rgb="FF008000"/>
      </font>
      <fill>
        <patternFill>
          <bgColor rgb="FFCCFFCC"/>
        </patternFill>
      </fill>
    </dxf>
    <dxf>
      <font>
        <color rgb="FF800080"/>
      </font>
      <fill>
        <patternFill>
          <bgColor rgb="FFFF99CC"/>
        </patternFill>
      </fill>
    </dxf>
    <dxf>
      <font>
        <b/>
        <i val="0"/>
        <color rgb="FFFF0000"/>
      </font>
    </dxf>
    <dxf>
      <font>
        <b val="0"/>
        <i val="0"/>
        <color indexed="23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color rgb="FFFF0000"/>
      </font>
    </dxf>
    <dxf>
      <font>
        <color theme="1" tint="0.499984740745262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b val="0"/>
        <i val="0"/>
        <condense val="0"/>
        <extend val="0"/>
        <color indexed="23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condense val="0"/>
        <extend val="0"/>
        <color indexed="53"/>
      </font>
      <fill>
        <patternFill>
          <bgColor indexed="34"/>
        </patternFill>
      </fill>
    </dxf>
    <dxf>
      <font>
        <color indexed="17"/>
      </font>
      <fill>
        <patternFill>
          <bgColor indexed="42"/>
        </patternFill>
      </fill>
    </dxf>
    <dxf>
      <font>
        <color indexed="20"/>
      </font>
      <fill>
        <patternFill>
          <bgColor indexed="45"/>
        </patternFill>
      </fill>
    </dxf>
    <dxf>
      <font>
        <condense val="0"/>
        <extend val="0"/>
        <color indexed="53"/>
      </font>
      <fill>
        <patternFill>
          <bgColor indexed="34"/>
        </patternFill>
      </fill>
    </dxf>
    <dxf>
      <font>
        <color indexed="17"/>
      </font>
      <fill>
        <patternFill>
          <bgColor indexed="42"/>
        </patternFill>
      </fill>
    </dxf>
    <dxf>
      <font>
        <color indexed="20"/>
      </font>
      <fill>
        <patternFill>
          <bgColor indexed="45"/>
        </patternFill>
      </fill>
    </dxf>
    <dxf>
      <font>
        <condense val="0"/>
        <extend val="0"/>
        <color indexed="52"/>
      </font>
      <fill>
        <patternFill>
          <bgColor indexed="34"/>
        </patternFill>
      </fill>
    </dxf>
    <dxf>
      <fill>
        <patternFill>
          <bgColor indexed="45"/>
        </patternFill>
      </fill>
    </dxf>
    <dxf>
      <font>
        <color indexed="17"/>
      </font>
      <fill>
        <patternFill>
          <bgColor indexed="42"/>
        </patternFill>
      </fill>
    </dxf>
    <dxf>
      <font>
        <condense val="0"/>
        <extend val="0"/>
        <color indexed="52"/>
      </font>
      <fill>
        <patternFill>
          <bgColor indexed="34"/>
        </patternFill>
      </fill>
    </dxf>
    <dxf>
      <fill>
        <patternFill>
          <bgColor indexed="45"/>
        </patternFill>
      </fill>
    </dxf>
    <dxf>
      <font>
        <color indexed="17"/>
      </font>
      <fill>
        <patternFill>
          <bgColor indexed="42"/>
        </patternFill>
      </fill>
    </dxf>
    <dxf>
      <font>
        <condense val="0"/>
        <extend val="0"/>
        <color indexed="52"/>
      </font>
      <fill>
        <patternFill>
          <bgColor indexed="34"/>
        </patternFill>
      </fill>
    </dxf>
    <dxf>
      <fill>
        <patternFill>
          <bgColor indexed="45"/>
        </patternFill>
      </fill>
    </dxf>
    <dxf>
      <font>
        <color indexed="17"/>
      </font>
      <fill>
        <patternFill>
          <bgColor indexed="42"/>
        </patternFill>
      </fill>
    </dxf>
    <dxf>
      <font>
        <condense val="0"/>
        <extend val="0"/>
        <color indexed="52"/>
      </font>
      <fill>
        <patternFill>
          <bgColor indexed="34"/>
        </patternFill>
      </fill>
    </dxf>
    <dxf>
      <fill>
        <patternFill>
          <bgColor indexed="45"/>
        </patternFill>
      </fill>
    </dxf>
    <dxf>
      <font>
        <color indexed="17"/>
      </font>
      <fill>
        <patternFill>
          <bgColor indexed="42"/>
        </patternFill>
      </fill>
    </dxf>
    <dxf>
      <font>
        <condense val="0"/>
        <extend val="0"/>
        <color indexed="53"/>
      </font>
      <fill>
        <patternFill>
          <bgColor indexed="34"/>
        </patternFill>
      </fill>
    </dxf>
    <dxf>
      <font>
        <color indexed="17"/>
      </font>
      <fill>
        <patternFill>
          <bgColor indexed="42"/>
        </patternFill>
      </fill>
    </dxf>
    <dxf>
      <font>
        <color indexed="20"/>
      </font>
      <fill>
        <patternFill>
          <bgColor indexed="45"/>
        </patternFill>
      </fill>
    </dxf>
    <dxf>
      <font>
        <condense val="0"/>
        <extend val="0"/>
        <color indexed="53"/>
      </font>
      <fill>
        <patternFill>
          <bgColor indexed="34"/>
        </patternFill>
      </fill>
    </dxf>
    <dxf>
      <font>
        <color indexed="17"/>
      </font>
      <fill>
        <patternFill>
          <bgColor indexed="42"/>
        </patternFill>
      </fill>
    </dxf>
    <dxf>
      <font>
        <color indexed="20"/>
      </font>
      <fill>
        <patternFill>
          <bgColor indexed="45"/>
        </patternFill>
      </fill>
    </dxf>
    <dxf>
      <fill>
        <patternFill>
          <bgColor rgb="FFFFFF00"/>
        </patternFill>
      </fill>
    </dxf>
    <dxf>
      <font>
        <condense val="0"/>
        <extend val="0"/>
        <color indexed="53"/>
      </font>
      <fill>
        <patternFill>
          <bgColor indexed="34"/>
        </patternFill>
      </fill>
    </dxf>
    <dxf>
      <font>
        <color indexed="17"/>
      </font>
      <fill>
        <patternFill>
          <bgColor indexed="42"/>
        </patternFill>
      </fill>
    </dxf>
    <dxf>
      <font>
        <color indexed="20"/>
      </font>
      <fill>
        <patternFill>
          <bgColor indexed="45"/>
        </patternFill>
      </fill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 val="0"/>
        <i val="0"/>
        <condense val="0"/>
        <extend val="0"/>
        <color indexed="23"/>
      </font>
    </dxf>
    <dxf>
      <font>
        <condense val="0"/>
        <extend val="0"/>
        <color indexed="10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condense val="0"/>
        <extend val="0"/>
        <color indexed="52"/>
      </font>
      <fill>
        <patternFill>
          <bgColor indexed="34"/>
        </patternFill>
      </fill>
    </dxf>
    <dxf>
      <fill>
        <patternFill>
          <bgColor indexed="45"/>
        </patternFill>
      </fill>
    </dxf>
    <dxf>
      <font>
        <color indexed="17"/>
      </font>
      <fill>
        <patternFill>
          <bgColor indexed="42"/>
        </patternFill>
      </fill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</dxfs>
  <tableStyles count="0" defaultTableStyle="TableStyleMedium2" defaultPivotStyle="PivotStyleLight16"/>
  <colors>
    <mruColors>
      <color rgb="FF008000"/>
      <color rgb="FFCCFFCC"/>
      <color rgb="FFFF6600"/>
      <color rgb="FF800080"/>
      <color rgb="FFFF99CC"/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314325</xdr:colOff>
      <xdr:row>16</xdr:row>
      <xdr:rowOff>152400</xdr:rowOff>
    </xdr:from>
    <xdr:to>
      <xdr:col>14</xdr:col>
      <xdr:colOff>390525</xdr:colOff>
      <xdr:row>22</xdr:row>
      <xdr:rowOff>9525</xdr:rowOff>
    </xdr:to>
    <xdr:grpSp>
      <xdr:nvGrpSpPr>
        <xdr:cNvPr id="1208" name="Group 17"/>
        <xdr:cNvGrpSpPr>
          <a:grpSpLocks/>
        </xdr:cNvGrpSpPr>
      </xdr:nvGrpSpPr>
      <xdr:grpSpPr bwMode="auto">
        <a:xfrm>
          <a:off x="7096125" y="2499360"/>
          <a:ext cx="807720" cy="794385"/>
          <a:chOff x="696" y="168"/>
          <a:chExt cx="83" cy="83"/>
        </a:xfrm>
      </xdr:grpSpPr>
      <xdr:sp macro="" textlink="">
        <xdr:nvSpPr>
          <xdr:cNvPr id="2" name="Oval 1"/>
          <xdr:cNvSpPr>
            <a:spLocks noChangeArrowheads="1"/>
          </xdr:cNvSpPr>
        </xdr:nvSpPr>
        <xdr:spPr bwMode="auto">
          <a:xfrm>
            <a:off x="696" y="168"/>
            <a:ext cx="83" cy="8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BT1</a:t>
            </a:r>
            <a:endParaRPr lang="en-US"/>
          </a:p>
        </xdr:txBody>
      </xdr:sp>
      <xdr:sp macro="" textlink="">
        <xdr:nvSpPr>
          <xdr:cNvPr id="1224" name="Oval 4"/>
          <xdr:cNvSpPr>
            <a:spLocks noChangeArrowheads="1"/>
          </xdr:cNvSpPr>
        </xdr:nvSpPr>
        <xdr:spPr bwMode="auto">
          <a:xfrm>
            <a:off x="734" y="240"/>
            <a:ext cx="8" cy="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225" name="Oval 5"/>
          <xdr:cNvSpPr>
            <a:spLocks noChangeArrowheads="1"/>
          </xdr:cNvSpPr>
        </xdr:nvSpPr>
        <xdr:spPr bwMode="auto">
          <a:xfrm>
            <a:off x="735" y="171"/>
            <a:ext cx="8" cy="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226" name="Oval 6"/>
          <xdr:cNvSpPr>
            <a:spLocks noChangeArrowheads="1"/>
          </xdr:cNvSpPr>
        </xdr:nvSpPr>
        <xdr:spPr bwMode="auto">
          <a:xfrm>
            <a:off x="768" y="207"/>
            <a:ext cx="8" cy="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227" name="Oval 7"/>
          <xdr:cNvSpPr>
            <a:spLocks noChangeArrowheads="1"/>
          </xdr:cNvSpPr>
        </xdr:nvSpPr>
        <xdr:spPr bwMode="auto">
          <a:xfrm>
            <a:off x="699" y="205"/>
            <a:ext cx="8" cy="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228" name="Oval 8"/>
          <xdr:cNvSpPr>
            <a:spLocks noChangeArrowheads="1"/>
          </xdr:cNvSpPr>
        </xdr:nvSpPr>
        <xdr:spPr bwMode="auto">
          <a:xfrm>
            <a:off x="704" y="222"/>
            <a:ext cx="8" cy="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229" name="Oval 9"/>
          <xdr:cNvSpPr>
            <a:spLocks noChangeArrowheads="1"/>
          </xdr:cNvSpPr>
        </xdr:nvSpPr>
        <xdr:spPr bwMode="auto">
          <a:xfrm>
            <a:off x="717" y="235"/>
            <a:ext cx="8" cy="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230" name="Oval 10"/>
          <xdr:cNvSpPr>
            <a:spLocks noChangeArrowheads="1"/>
          </xdr:cNvSpPr>
        </xdr:nvSpPr>
        <xdr:spPr bwMode="auto">
          <a:xfrm>
            <a:off x="750" y="235"/>
            <a:ext cx="8" cy="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231" name="Oval 11"/>
          <xdr:cNvSpPr>
            <a:spLocks noChangeArrowheads="1"/>
          </xdr:cNvSpPr>
        </xdr:nvSpPr>
        <xdr:spPr bwMode="auto">
          <a:xfrm>
            <a:off x="763" y="223"/>
            <a:ext cx="8" cy="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232" name="Oval 12"/>
          <xdr:cNvSpPr>
            <a:spLocks noChangeArrowheads="1"/>
          </xdr:cNvSpPr>
        </xdr:nvSpPr>
        <xdr:spPr bwMode="auto">
          <a:xfrm>
            <a:off x="704" y="188"/>
            <a:ext cx="8" cy="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233" name="Oval 13"/>
          <xdr:cNvSpPr>
            <a:spLocks noChangeArrowheads="1"/>
          </xdr:cNvSpPr>
        </xdr:nvSpPr>
        <xdr:spPr bwMode="auto">
          <a:xfrm>
            <a:off x="717" y="175"/>
            <a:ext cx="8" cy="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234" name="Oval 14"/>
          <xdr:cNvSpPr>
            <a:spLocks noChangeArrowheads="1"/>
          </xdr:cNvSpPr>
        </xdr:nvSpPr>
        <xdr:spPr bwMode="auto">
          <a:xfrm>
            <a:off x="753" y="178"/>
            <a:ext cx="8" cy="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235" name="Oval 15"/>
          <xdr:cNvSpPr>
            <a:spLocks noChangeArrowheads="1"/>
          </xdr:cNvSpPr>
        </xdr:nvSpPr>
        <xdr:spPr bwMode="auto">
          <a:xfrm>
            <a:off x="764" y="191"/>
            <a:ext cx="8" cy="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13</xdr:col>
      <xdr:colOff>314325</xdr:colOff>
      <xdr:row>24</xdr:row>
      <xdr:rowOff>0</xdr:rowOff>
    </xdr:from>
    <xdr:to>
      <xdr:col>14</xdr:col>
      <xdr:colOff>390525</xdr:colOff>
      <xdr:row>28</xdr:row>
      <xdr:rowOff>142875</xdr:rowOff>
    </xdr:to>
    <xdr:grpSp>
      <xdr:nvGrpSpPr>
        <xdr:cNvPr id="1209" name="Group 17"/>
        <xdr:cNvGrpSpPr>
          <a:grpSpLocks/>
        </xdr:cNvGrpSpPr>
      </xdr:nvGrpSpPr>
      <xdr:grpSpPr bwMode="auto">
        <a:xfrm>
          <a:off x="7096125" y="3627120"/>
          <a:ext cx="807720" cy="813435"/>
          <a:chOff x="696" y="168"/>
          <a:chExt cx="83" cy="83"/>
        </a:xfrm>
      </xdr:grpSpPr>
      <xdr:sp macro="" textlink="">
        <xdr:nvSpPr>
          <xdr:cNvPr id="1025" name="Oval 1"/>
          <xdr:cNvSpPr>
            <a:spLocks noChangeArrowheads="1"/>
          </xdr:cNvSpPr>
        </xdr:nvSpPr>
        <xdr:spPr bwMode="auto">
          <a:xfrm>
            <a:off x="696" y="168"/>
            <a:ext cx="83" cy="8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endParaRPr lang="en-GB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BT2</a:t>
            </a:r>
          </a:p>
        </xdr:txBody>
      </xdr:sp>
      <xdr:sp macro="" textlink="">
        <xdr:nvSpPr>
          <xdr:cNvPr id="1211" name="Oval 4"/>
          <xdr:cNvSpPr>
            <a:spLocks noChangeArrowheads="1"/>
          </xdr:cNvSpPr>
        </xdr:nvSpPr>
        <xdr:spPr bwMode="auto">
          <a:xfrm>
            <a:off x="734" y="240"/>
            <a:ext cx="8" cy="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212" name="Oval 5"/>
          <xdr:cNvSpPr>
            <a:spLocks noChangeArrowheads="1"/>
          </xdr:cNvSpPr>
        </xdr:nvSpPr>
        <xdr:spPr bwMode="auto">
          <a:xfrm>
            <a:off x="735" y="171"/>
            <a:ext cx="8" cy="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213" name="Oval 6"/>
          <xdr:cNvSpPr>
            <a:spLocks noChangeArrowheads="1"/>
          </xdr:cNvSpPr>
        </xdr:nvSpPr>
        <xdr:spPr bwMode="auto">
          <a:xfrm>
            <a:off x="768" y="207"/>
            <a:ext cx="8" cy="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214" name="Oval 7"/>
          <xdr:cNvSpPr>
            <a:spLocks noChangeArrowheads="1"/>
          </xdr:cNvSpPr>
        </xdr:nvSpPr>
        <xdr:spPr bwMode="auto">
          <a:xfrm>
            <a:off x="699" y="205"/>
            <a:ext cx="8" cy="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215" name="Oval 8"/>
          <xdr:cNvSpPr>
            <a:spLocks noChangeArrowheads="1"/>
          </xdr:cNvSpPr>
        </xdr:nvSpPr>
        <xdr:spPr bwMode="auto">
          <a:xfrm>
            <a:off x="704" y="222"/>
            <a:ext cx="8" cy="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216" name="Oval 9"/>
          <xdr:cNvSpPr>
            <a:spLocks noChangeArrowheads="1"/>
          </xdr:cNvSpPr>
        </xdr:nvSpPr>
        <xdr:spPr bwMode="auto">
          <a:xfrm>
            <a:off x="717" y="235"/>
            <a:ext cx="8" cy="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217" name="Oval 10"/>
          <xdr:cNvSpPr>
            <a:spLocks noChangeArrowheads="1"/>
          </xdr:cNvSpPr>
        </xdr:nvSpPr>
        <xdr:spPr bwMode="auto">
          <a:xfrm>
            <a:off x="750" y="235"/>
            <a:ext cx="8" cy="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218" name="Oval 11"/>
          <xdr:cNvSpPr>
            <a:spLocks noChangeArrowheads="1"/>
          </xdr:cNvSpPr>
        </xdr:nvSpPr>
        <xdr:spPr bwMode="auto">
          <a:xfrm>
            <a:off x="763" y="223"/>
            <a:ext cx="8" cy="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219" name="Oval 12"/>
          <xdr:cNvSpPr>
            <a:spLocks noChangeArrowheads="1"/>
          </xdr:cNvSpPr>
        </xdr:nvSpPr>
        <xdr:spPr bwMode="auto">
          <a:xfrm>
            <a:off x="704" y="188"/>
            <a:ext cx="8" cy="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220" name="Oval 13"/>
          <xdr:cNvSpPr>
            <a:spLocks noChangeArrowheads="1"/>
          </xdr:cNvSpPr>
        </xdr:nvSpPr>
        <xdr:spPr bwMode="auto">
          <a:xfrm>
            <a:off x="717" y="175"/>
            <a:ext cx="8" cy="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221" name="Oval 14"/>
          <xdr:cNvSpPr>
            <a:spLocks noChangeArrowheads="1"/>
          </xdr:cNvSpPr>
        </xdr:nvSpPr>
        <xdr:spPr bwMode="auto">
          <a:xfrm>
            <a:off x="753" y="178"/>
            <a:ext cx="8" cy="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222" name="Oval 15"/>
          <xdr:cNvSpPr>
            <a:spLocks noChangeArrowheads="1"/>
          </xdr:cNvSpPr>
        </xdr:nvSpPr>
        <xdr:spPr bwMode="auto">
          <a:xfrm>
            <a:off x="764" y="191"/>
            <a:ext cx="8" cy="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314325</xdr:colOff>
      <xdr:row>13</xdr:row>
      <xdr:rowOff>0</xdr:rowOff>
    </xdr:from>
    <xdr:to>
      <xdr:col>14</xdr:col>
      <xdr:colOff>390525</xdr:colOff>
      <xdr:row>13</xdr:row>
      <xdr:rowOff>0</xdr:rowOff>
    </xdr:to>
    <xdr:grpSp>
      <xdr:nvGrpSpPr>
        <xdr:cNvPr id="3185" name="Group 17"/>
        <xdr:cNvGrpSpPr>
          <a:grpSpLocks/>
        </xdr:cNvGrpSpPr>
      </xdr:nvGrpSpPr>
      <xdr:grpSpPr bwMode="auto">
        <a:xfrm>
          <a:off x="6915150" y="1943100"/>
          <a:ext cx="790575" cy="0"/>
          <a:chOff x="696" y="168"/>
          <a:chExt cx="83" cy="83"/>
        </a:xfrm>
      </xdr:grpSpPr>
      <xdr:sp macro="" textlink="">
        <xdr:nvSpPr>
          <xdr:cNvPr id="2" name="Oval 1"/>
          <xdr:cNvSpPr>
            <a:spLocks noChangeArrowheads="1"/>
          </xdr:cNvSpPr>
        </xdr:nvSpPr>
        <xdr:spPr bwMode="auto">
          <a:xfrm>
            <a:off x="6701294352296" y="1943100"/>
            <a:ext cx="83" cy="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BT1</a:t>
            </a:r>
            <a:endParaRPr lang="en-US"/>
          </a:p>
        </xdr:txBody>
      </xdr:sp>
      <xdr:sp macro="" textlink="">
        <xdr:nvSpPr>
          <xdr:cNvPr id="3201" name="Oval 4"/>
          <xdr:cNvSpPr>
            <a:spLocks noChangeArrowheads="1"/>
          </xdr:cNvSpPr>
        </xdr:nvSpPr>
        <xdr:spPr bwMode="auto">
          <a:xfrm>
            <a:off x="734" y="240"/>
            <a:ext cx="8" cy="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3202" name="Oval 5"/>
          <xdr:cNvSpPr>
            <a:spLocks noChangeArrowheads="1"/>
          </xdr:cNvSpPr>
        </xdr:nvSpPr>
        <xdr:spPr bwMode="auto">
          <a:xfrm>
            <a:off x="735" y="171"/>
            <a:ext cx="8" cy="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3203" name="Oval 6"/>
          <xdr:cNvSpPr>
            <a:spLocks noChangeArrowheads="1"/>
          </xdr:cNvSpPr>
        </xdr:nvSpPr>
        <xdr:spPr bwMode="auto">
          <a:xfrm>
            <a:off x="768" y="207"/>
            <a:ext cx="8" cy="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3204" name="Oval 7"/>
          <xdr:cNvSpPr>
            <a:spLocks noChangeArrowheads="1"/>
          </xdr:cNvSpPr>
        </xdr:nvSpPr>
        <xdr:spPr bwMode="auto">
          <a:xfrm>
            <a:off x="699" y="205"/>
            <a:ext cx="8" cy="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3205" name="Oval 8"/>
          <xdr:cNvSpPr>
            <a:spLocks noChangeArrowheads="1"/>
          </xdr:cNvSpPr>
        </xdr:nvSpPr>
        <xdr:spPr bwMode="auto">
          <a:xfrm>
            <a:off x="704" y="222"/>
            <a:ext cx="8" cy="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3206" name="Oval 9"/>
          <xdr:cNvSpPr>
            <a:spLocks noChangeArrowheads="1"/>
          </xdr:cNvSpPr>
        </xdr:nvSpPr>
        <xdr:spPr bwMode="auto">
          <a:xfrm>
            <a:off x="717" y="235"/>
            <a:ext cx="8" cy="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3207" name="Oval 10"/>
          <xdr:cNvSpPr>
            <a:spLocks noChangeArrowheads="1"/>
          </xdr:cNvSpPr>
        </xdr:nvSpPr>
        <xdr:spPr bwMode="auto">
          <a:xfrm>
            <a:off x="750" y="235"/>
            <a:ext cx="8" cy="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3208" name="Oval 11"/>
          <xdr:cNvSpPr>
            <a:spLocks noChangeArrowheads="1"/>
          </xdr:cNvSpPr>
        </xdr:nvSpPr>
        <xdr:spPr bwMode="auto">
          <a:xfrm>
            <a:off x="763" y="223"/>
            <a:ext cx="8" cy="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3209" name="Oval 12"/>
          <xdr:cNvSpPr>
            <a:spLocks noChangeArrowheads="1"/>
          </xdr:cNvSpPr>
        </xdr:nvSpPr>
        <xdr:spPr bwMode="auto">
          <a:xfrm>
            <a:off x="704" y="188"/>
            <a:ext cx="8" cy="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3210" name="Oval 13"/>
          <xdr:cNvSpPr>
            <a:spLocks noChangeArrowheads="1"/>
          </xdr:cNvSpPr>
        </xdr:nvSpPr>
        <xdr:spPr bwMode="auto">
          <a:xfrm>
            <a:off x="717" y="175"/>
            <a:ext cx="8" cy="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3211" name="Oval 14"/>
          <xdr:cNvSpPr>
            <a:spLocks noChangeArrowheads="1"/>
          </xdr:cNvSpPr>
        </xdr:nvSpPr>
        <xdr:spPr bwMode="auto">
          <a:xfrm>
            <a:off x="753" y="178"/>
            <a:ext cx="8" cy="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3212" name="Oval 15"/>
          <xdr:cNvSpPr>
            <a:spLocks noChangeArrowheads="1"/>
          </xdr:cNvSpPr>
        </xdr:nvSpPr>
        <xdr:spPr bwMode="auto">
          <a:xfrm>
            <a:off x="764" y="191"/>
            <a:ext cx="8" cy="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13</xdr:col>
      <xdr:colOff>314325</xdr:colOff>
      <xdr:row>13</xdr:row>
      <xdr:rowOff>0</xdr:rowOff>
    </xdr:from>
    <xdr:to>
      <xdr:col>14</xdr:col>
      <xdr:colOff>390525</xdr:colOff>
      <xdr:row>13</xdr:row>
      <xdr:rowOff>0</xdr:rowOff>
    </xdr:to>
    <xdr:grpSp>
      <xdr:nvGrpSpPr>
        <xdr:cNvPr id="3186" name="Group 17"/>
        <xdr:cNvGrpSpPr>
          <a:grpSpLocks/>
        </xdr:cNvGrpSpPr>
      </xdr:nvGrpSpPr>
      <xdr:grpSpPr bwMode="auto">
        <a:xfrm>
          <a:off x="6915150" y="1943100"/>
          <a:ext cx="790575" cy="0"/>
          <a:chOff x="696" y="168"/>
          <a:chExt cx="83" cy="83"/>
        </a:xfrm>
      </xdr:grpSpPr>
      <xdr:sp macro="" textlink="">
        <xdr:nvSpPr>
          <xdr:cNvPr id="1025" name="Oval 1"/>
          <xdr:cNvSpPr>
            <a:spLocks noChangeArrowheads="1"/>
          </xdr:cNvSpPr>
        </xdr:nvSpPr>
        <xdr:spPr bwMode="auto">
          <a:xfrm>
            <a:off x="6701294352296" y="1943100"/>
            <a:ext cx="83" cy="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endParaRPr lang="en-GB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BT2</a:t>
            </a:r>
          </a:p>
        </xdr:txBody>
      </xdr:sp>
      <xdr:sp macro="" textlink="">
        <xdr:nvSpPr>
          <xdr:cNvPr id="3188" name="Oval 4"/>
          <xdr:cNvSpPr>
            <a:spLocks noChangeArrowheads="1"/>
          </xdr:cNvSpPr>
        </xdr:nvSpPr>
        <xdr:spPr bwMode="auto">
          <a:xfrm>
            <a:off x="734" y="240"/>
            <a:ext cx="8" cy="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3189" name="Oval 5"/>
          <xdr:cNvSpPr>
            <a:spLocks noChangeArrowheads="1"/>
          </xdr:cNvSpPr>
        </xdr:nvSpPr>
        <xdr:spPr bwMode="auto">
          <a:xfrm>
            <a:off x="735" y="171"/>
            <a:ext cx="8" cy="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3190" name="Oval 6"/>
          <xdr:cNvSpPr>
            <a:spLocks noChangeArrowheads="1"/>
          </xdr:cNvSpPr>
        </xdr:nvSpPr>
        <xdr:spPr bwMode="auto">
          <a:xfrm>
            <a:off x="768" y="207"/>
            <a:ext cx="8" cy="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3191" name="Oval 7"/>
          <xdr:cNvSpPr>
            <a:spLocks noChangeArrowheads="1"/>
          </xdr:cNvSpPr>
        </xdr:nvSpPr>
        <xdr:spPr bwMode="auto">
          <a:xfrm>
            <a:off x="699" y="205"/>
            <a:ext cx="8" cy="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3192" name="Oval 8"/>
          <xdr:cNvSpPr>
            <a:spLocks noChangeArrowheads="1"/>
          </xdr:cNvSpPr>
        </xdr:nvSpPr>
        <xdr:spPr bwMode="auto">
          <a:xfrm>
            <a:off x="704" y="222"/>
            <a:ext cx="8" cy="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3193" name="Oval 9"/>
          <xdr:cNvSpPr>
            <a:spLocks noChangeArrowheads="1"/>
          </xdr:cNvSpPr>
        </xdr:nvSpPr>
        <xdr:spPr bwMode="auto">
          <a:xfrm>
            <a:off x="717" y="235"/>
            <a:ext cx="8" cy="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3194" name="Oval 10"/>
          <xdr:cNvSpPr>
            <a:spLocks noChangeArrowheads="1"/>
          </xdr:cNvSpPr>
        </xdr:nvSpPr>
        <xdr:spPr bwMode="auto">
          <a:xfrm>
            <a:off x="750" y="235"/>
            <a:ext cx="8" cy="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3195" name="Oval 11"/>
          <xdr:cNvSpPr>
            <a:spLocks noChangeArrowheads="1"/>
          </xdr:cNvSpPr>
        </xdr:nvSpPr>
        <xdr:spPr bwMode="auto">
          <a:xfrm>
            <a:off x="763" y="223"/>
            <a:ext cx="8" cy="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3196" name="Oval 12"/>
          <xdr:cNvSpPr>
            <a:spLocks noChangeArrowheads="1"/>
          </xdr:cNvSpPr>
        </xdr:nvSpPr>
        <xdr:spPr bwMode="auto">
          <a:xfrm>
            <a:off x="704" y="188"/>
            <a:ext cx="8" cy="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3197" name="Oval 13"/>
          <xdr:cNvSpPr>
            <a:spLocks noChangeArrowheads="1"/>
          </xdr:cNvSpPr>
        </xdr:nvSpPr>
        <xdr:spPr bwMode="auto">
          <a:xfrm>
            <a:off x="717" y="175"/>
            <a:ext cx="8" cy="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3198" name="Oval 14"/>
          <xdr:cNvSpPr>
            <a:spLocks noChangeArrowheads="1"/>
          </xdr:cNvSpPr>
        </xdr:nvSpPr>
        <xdr:spPr bwMode="auto">
          <a:xfrm>
            <a:off x="753" y="178"/>
            <a:ext cx="8" cy="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3199" name="Oval 15"/>
          <xdr:cNvSpPr>
            <a:spLocks noChangeArrowheads="1"/>
          </xdr:cNvSpPr>
        </xdr:nvSpPr>
        <xdr:spPr bwMode="auto">
          <a:xfrm>
            <a:off x="764" y="191"/>
            <a:ext cx="8" cy="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3"/>
  <sheetViews>
    <sheetView tabSelected="1" zoomScaleNormal="100" workbookViewId="0">
      <selection activeCell="E4" sqref="E4"/>
    </sheetView>
  </sheetViews>
  <sheetFormatPr defaultColWidth="0" defaultRowHeight="13.2" zeroHeight="1" x14ac:dyDescent="0.25"/>
  <cols>
    <col min="1" max="1" width="0.88671875" customWidth="1"/>
    <col min="2" max="3" width="10.6640625" customWidth="1"/>
    <col min="4" max="4" width="0.88671875" customWidth="1"/>
    <col min="5" max="5" width="28.5546875" bestFit="1" customWidth="1"/>
    <col min="6" max="6" width="0.88671875" customWidth="1"/>
    <col min="7" max="7" width="10.6640625" customWidth="1"/>
    <col min="8" max="8" width="0.88671875" customWidth="1"/>
    <col min="9" max="9" width="10.6640625" customWidth="1"/>
    <col min="10" max="10" width="0.5546875" customWidth="1"/>
    <col min="11" max="11" width="11.109375" customWidth="1"/>
    <col min="12" max="12" width="11.5546875" customWidth="1"/>
    <col min="13" max="13" width="0.88671875" customWidth="1"/>
    <col min="14" max="15" width="10.6640625" customWidth="1"/>
    <col min="16" max="16" width="8.5546875" bestFit="1" customWidth="1"/>
    <col min="17" max="17" width="1" customWidth="1"/>
    <col min="18" max="19" width="9.109375" customWidth="1"/>
    <col min="20" max="20" width="9.109375" hidden="1" customWidth="1"/>
    <col min="21" max="21" width="16.33203125" hidden="1" customWidth="1"/>
    <col min="22" max="22" width="10.44140625" hidden="1" customWidth="1"/>
    <col min="23" max="23" width="9.109375" hidden="1" customWidth="1"/>
    <col min="24" max="24" width="20.33203125" style="130" hidden="1" customWidth="1"/>
    <col min="25" max="16384" width="9.109375" hidden="1"/>
  </cols>
  <sheetData>
    <row r="1" spans="1:24" x14ac:dyDescent="0.25">
      <c r="B1" s="191" t="s">
        <v>155</v>
      </c>
    </row>
    <row r="2" spans="1:24" ht="14.25" customHeight="1" x14ac:dyDescent="0.25">
      <c r="B2" s="193" t="s">
        <v>154</v>
      </c>
      <c r="C2" s="191"/>
      <c r="D2" s="191"/>
      <c r="E2" s="192" t="s">
        <v>153</v>
      </c>
    </row>
    <row r="3" spans="1:24" ht="6" customHeight="1" thickBot="1" x14ac:dyDescent="0.3">
      <c r="A3" s="34"/>
      <c r="B3" s="34"/>
      <c r="C3" s="34"/>
      <c r="D3" s="37"/>
      <c r="E3" s="34"/>
      <c r="F3" s="37"/>
      <c r="G3" s="34"/>
      <c r="H3" s="34"/>
      <c r="I3" s="34"/>
      <c r="J3" s="37"/>
      <c r="K3" s="34"/>
      <c r="L3" s="34"/>
      <c r="M3" s="37"/>
      <c r="N3" s="54"/>
      <c r="O3" s="54"/>
      <c r="P3" s="54"/>
      <c r="Q3" s="54"/>
      <c r="R3" s="149"/>
      <c r="S3" s="149"/>
      <c r="T3" s="149"/>
      <c r="U3" s="55"/>
      <c r="V3" s="55"/>
      <c r="W3" s="55"/>
    </row>
    <row r="4" spans="1:24" ht="13.8" x14ac:dyDescent="0.25">
      <c r="A4" s="34"/>
      <c r="B4" s="197" t="s">
        <v>34</v>
      </c>
      <c r="C4" s="199"/>
      <c r="D4" s="31"/>
      <c r="E4" s="108"/>
      <c r="F4" s="117"/>
      <c r="G4" s="101" t="s">
        <v>92</v>
      </c>
      <c r="H4" s="100"/>
      <c r="I4" s="194"/>
      <c r="J4" s="195"/>
      <c r="K4" s="195"/>
      <c r="L4" s="196"/>
      <c r="M4" s="118"/>
      <c r="N4" s="38" t="s">
        <v>66</v>
      </c>
      <c r="O4" s="14"/>
      <c r="P4" s="22"/>
      <c r="Q4" s="22"/>
      <c r="R4" s="149"/>
      <c r="S4" s="149"/>
      <c r="T4" s="149"/>
      <c r="U4" s="155" t="s">
        <v>130</v>
      </c>
      <c r="V4" s="156"/>
      <c r="W4" s="156"/>
      <c r="X4" s="157"/>
    </row>
    <row r="5" spans="1:24" ht="6" customHeight="1" x14ac:dyDescent="0.25">
      <c r="A5" s="34"/>
      <c r="B5" s="4"/>
      <c r="C5" s="5"/>
      <c r="D5" s="5"/>
      <c r="E5" s="5"/>
      <c r="F5" s="5"/>
      <c r="G5" s="5"/>
      <c r="H5" s="22"/>
      <c r="I5" s="5"/>
      <c r="J5" s="22"/>
      <c r="K5" s="5"/>
      <c r="L5" s="5"/>
      <c r="M5" s="5"/>
      <c r="N5" s="22"/>
      <c r="O5" s="29"/>
      <c r="P5" s="22"/>
      <c r="Q5" s="22"/>
      <c r="R5" s="149"/>
      <c r="S5" s="149"/>
      <c r="T5" s="149"/>
      <c r="U5" s="158"/>
      <c r="V5" s="159"/>
      <c r="W5" s="159"/>
      <c r="X5" s="160"/>
    </row>
    <row r="6" spans="1:24" ht="12.75" customHeight="1" thickBot="1" x14ac:dyDescent="0.3">
      <c r="A6" s="34"/>
      <c r="B6" s="86" t="s">
        <v>58</v>
      </c>
      <c r="C6" s="36"/>
      <c r="D6" s="7"/>
      <c r="E6" s="88" t="s">
        <v>53</v>
      </c>
      <c r="F6" s="42"/>
      <c r="G6" s="89" t="s">
        <v>69</v>
      </c>
      <c r="H6" s="40"/>
      <c r="I6" s="90" t="s">
        <v>68</v>
      </c>
      <c r="J6" s="41"/>
      <c r="K6" s="110" t="s">
        <v>37</v>
      </c>
      <c r="L6" s="111" t="s">
        <v>38</v>
      </c>
      <c r="M6" s="45"/>
      <c r="N6" s="56" t="s">
        <v>59</v>
      </c>
      <c r="O6" s="57" t="s">
        <v>60</v>
      </c>
      <c r="P6" s="58"/>
      <c r="Q6" s="58"/>
      <c r="R6" s="149"/>
      <c r="S6" s="149"/>
      <c r="T6" s="149"/>
      <c r="U6" s="161" t="s">
        <v>131</v>
      </c>
      <c r="V6" s="159"/>
      <c r="W6" s="159"/>
      <c r="X6" s="160"/>
    </row>
    <row r="7" spans="1:24" ht="12.75" customHeight="1" thickBot="1" x14ac:dyDescent="0.3">
      <c r="A7" s="34"/>
      <c r="B7" s="87" t="s">
        <v>54</v>
      </c>
      <c r="C7" s="44"/>
      <c r="D7" s="47"/>
      <c r="E7" s="20" t="s">
        <v>94</v>
      </c>
      <c r="F7" s="43"/>
      <c r="G7" s="18">
        <v>1.5</v>
      </c>
      <c r="H7" s="35"/>
      <c r="I7" s="18">
        <v>10</v>
      </c>
      <c r="J7" s="35"/>
      <c r="K7" s="128">
        <v>45.000999999999998</v>
      </c>
      <c r="L7" s="115">
        <v>25.001000000000001</v>
      </c>
      <c r="M7" s="8"/>
      <c r="N7" s="60">
        <f t="shared" ref="N7:N12" si="0">K7*(K7/L7+I7)/(2+I7)</f>
        <v>44.250863335466583</v>
      </c>
      <c r="O7" s="17">
        <v>90</v>
      </c>
      <c r="P7" s="23"/>
      <c r="Q7" s="23"/>
      <c r="R7" s="149"/>
      <c r="S7" s="149"/>
      <c r="T7" s="149"/>
      <c r="U7" s="158" t="s">
        <v>126</v>
      </c>
      <c r="V7" s="159">
        <v>-3.9E-2</v>
      </c>
      <c r="W7" s="159"/>
      <c r="X7" s="160"/>
    </row>
    <row r="8" spans="1:24" ht="12.75" customHeight="1" x14ac:dyDescent="0.25">
      <c r="A8" s="34"/>
      <c r="B8" s="87" t="s">
        <v>55</v>
      </c>
      <c r="C8" s="50"/>
      <c r="D8" s="47"/>
      <c r="E8" s="20" t="s">
        <v>49</v>
      </c>
      <c r="F8" s="43"/>
      <c r="G8" s="18">
        <v>1.5</v>
      </c>
      <c r="H8" s="35"/>
      <c r="I8" s="18">
        <v>3</v>
      </c>
      <c r="J8" s="35"/>
      <c r="K8" s="129">
        <f t="shared" ref="K8:K12" si="1">K$7+0.001</f>
        <v>45.001999999999995</v>
      </c>
      <c r="L8" s="144">
        <f>L$7</f>
        <v>25.001000000000001</v>
      </c>
      <c r="M8" s="46"/>
      <c r="N8" s="60">
        <f t="shared" si="0"/>
        <v>43.201992000319976</v>
      </c>
      <c r="O8" s="17">
        <v>80</v>
      </c>
      <c r="P8" s="23"/>
      <c r="Q8" s="23"/>
      <c r="R8" s="149"/>
      <c r="S8" s="149"/>
      <c r="T8" s="149"/>
      <c r="U8" s="158" t="s">
        <v>127</v>
      </c>
      <c r="V8" s="159">
        <v>0.02</v>
      </c>
      <c r="W8" s="159"/>
      <c r="X8" s="160"/>
    </row>
    <row r="9" spans="1:24" ht="12.75" customHeight="1" x14ac:dyDescent="0.25">
      <c r="A9" s="34"/>
      <c r="B9" s="87" t="s">
        <v>57</v>
      </c>
      <c r="C9" s="143" t="str">
        <f>IF(L18="","",IF(C8="","",MAX(C8,K18:L18)-C7))</f>
        <v/>
      </c>
      <c r="D9" s="47"/>
      <c r="E9" s="20" t="s">
        <v>50</v>
      </c>
      <c r="F9" s="27"/>
      <c r="G9" s="18">
        <v>1.5</v>
      </c>
      <c r="H9" s="35"/>
      <c r="I9" s="18">
        <v>3</v>
      </c>
      <c r="J9" s="35"/>
      <c r="K9" s="129">
        <f t="shared" si="1"/>
        <v>45.001999999999995</v>
      </c>
      <c r="L9" s="21">
        <f t="shared" ref="L9:L15" si="2">L$7</f>
        <v>25.001000000000001</v>
      </c>
      <c r="M9" s="46"/>
      <c r="N9" s="60">
        <f t="shared" si="0"/>
        <v>43.201992000319976</v>
      </c>
      <c r="O9" s="17">
        <v>65</v>
      </c>
      <c r="P9" s="23"/>
      <c r="Q9" s="23"/>
      <c r="R9" s="149"/>
      <c r="S9" s="149"/>
      <c r="T9" s="149"/>
      <c r="U9" s="158" t="s">
        <v>128</v>
      </c>
      <c r="V9" s="159">
        <v>2.7E-2</v>
      </c>
      <c r="W9" s="159"/>
      <c r="X9" s="160"/>
    </row>
    <row r="10" spans="1:24" ht="12.75" customHeight="1" x14ac:dyDescent="0.25">
      <c r="A10" s="34"/>
      <c r="B10" s="200" t="s">
        <v>93</v>
      </c>
      <c r="C10" s="201"/>
      <c r="D10" s="106"/>
      <c r="E10" s="20" t="s">
        <v>51</v>
      </c>
      <c r="F10" s="43"/>
      <c r="G10" s="18">
        <v>1.5</v>
      </c>
      <c r="H10" s="35"/>
      <c r="I10" s="18">
        <v>3</v>
      </c>
      <c r="J10" s="35"/>
      <c r="K10" s="129">
        <f t="shared" si="1"/>
        <v>45.001999999999995</v>
      </c>
      <c r="L10" s="21">
        <f t="shared" si="2"/>
        <v>25.001000000000001</v>
      </c>
      <c r="M10" s="46"/>
      <c r="N10" s="60">
        <f t="shared" si="0"/>
        <v>43.201992000319976</v>
      </c>
      <c r="O10" s="17">
        <v>70</v>
      </c>
      <c r="P10" s="23"/>
      <c r="Q10" s="23"/>
      <c r="R10" s="149"/>
      <c r="S10" s="149"/>
      <c r="T10" s="149"/>
      <c r="U10" s="162"/>
      <c r="V10" s="159"/>
      <c r="W10" s="159"/>
      <c r="X10" s="160"/>
    </row>
    <row r="11" spans="1:24" ht="12.75" customHeight="1" x14ac:dyDescent="0.25">
      <c r="A11" s="34"/>
      <c r="B11" s="202"/>
      <c r="C11" s="203"/>
      <c r="D11" s="106"/>
      <c r="E11" s="20" t="s">
        <v>52</v>
      </c>
      <c r="F11" s="27"/>
      <c r="G11" s="18">
        <v>1.5</v>
      </c>
      <c r="H11" s="35"/>
      <c r="I11" s="18">
        <v>3</v>
      </c>
      <c r="J11" s="35"/>
      <c r="K11" s="129">
        <f t="shared" si="1"/>
        <v>45.001999999999995</v>
      </c>
      <c r="L11" s="21">
        <f t="shared" si="2"/>
        <v>25.001000000000001</v>
      </c>
      <c r="M11" s="46"/>
      <c r="N11" s="60">
        <f t="shared" si="0"/>
        <v>43.201992000319976</v>
      </c>
      <c r="O11" s="17">
        <v>70</v>
      </c>
      <c r="P11" s="23"/>
      <c r="Q11" s="23"/>
      <c r="R11" s="149"/>
      <c r="S11" s="149"/>
      <c r="T11" s="149"/>
      <c r="U11" s="161" t="s">
        <v>132</v>
      </c>
      <c r="V11" s="159"/>
      <c r="W11" s="159"/>
      <c r="X11" s="160"/>
    </row>
    <row r="12" spans="1:24" ht="12.75" customHeight="1" thickBot="1" x14ac:dyDescent="0.3">
      <c r="A12" s="34"/>
      <c r="B12" s="202"/>
      <c r="C12" s="203"/>
      <c r="D12" s="8"/>
      <c r="E12" s="107" t="s">
        <v>70</v>
      </c>
      <c r="F12" s="27"/>
      <c r="G12" s="18">
        <v>1.5</v>
      </c>
      <c r="H12" s="35"/>
      <c r="I12" s="18">
        <v>3</v>
      </c>
      <c r="J12" s="35"/>
      <c r="K12" s="170">
        <f t="shared" si="1"/>
        <v>45.001999999999995</v>
      </c>
      <c r="L12" s="21">
        <f t="shared" si="2"/>
        <v>25.001000000000001</v>
      </c>
      <c r="M12" s="46"/>
      <c r="N12" s="60">
        <f t="shared" si="0"/>
        <v>43.201992000319976</v>
      </c>
      <c r="O12" s="17">
        <v>120</v>
      </c>
      <c r="P12" s="23"/>
      <c r="Q12" s="23"/>
      <c r="R12" s="149"/>
      <c r="S12" s="149"/>
      <c r="T12" s="149"/>
      <c r="U12" s="163" t="s">
        <v>133</v>
      </c>
      <c r="V12" s="159">
        <v>30</v>
      </c>
      <c r="W12" s="164" t="s">
        <v>136</v>
      </c>
      <c r="X12" s="160"/>
    </row>
    <row r="13" spans="1:24" ht="12.75" customHeight="1" x14ac:dyDescent="0.25">
      <c r="A13" s="34"/>
      <c r="B13" s="202"/>
      <c r="C13" s="203"/>
      <c r="D13" s="5"/>
      <c r="E13" s="107" t="s">
        <v>101</v>
      </c>
      <c r="F13" s="27"/>
      <c r="G13" s="18">
        <v>1.5</v>
      </c>
      <c r="H13" s="35"/>
      <c r="I13" s="18">
        <v>3</v>
      </c>
      <c r="J13" s="35"/>
      <c r="K13" s="181">
        <v>45.000999999999998</v>
      </c>
      <c r="L13" s="145">
        <f t="shared" si="2"/>
        <v>25.001000000000001</v>
      </c>
      <c r="M13" s="46"/>
      <c r="N13" s="60">
        <f>K13*(K13/L13+I13)/(2+I13)</f>
        <v>43.200672005119785</v>
      </c>
      <c r="O13" s="17"/>
      <c r="P13" s="23"/>
      <c r="Q13" s="23"/>
      <c r="R13" s="149"/>
      <c r="S13" s="149"/>
      <c r="T13" s="149"/>
      <c r="U13" s="163" t="s">
        <v>134</v>
      </c>
      <c r="V13" s="159">
        <v>85</v>
      </c>
      <c r="W13" s="164" t="s">
        <v>7</v>
      </c>
      <c r="X13" s="160"/>
    </row>
    <row r="14" spans="1:24" ht="12.75" customHeight="1" x14ac:dyDescent="0.25">
      <c r="A14" s="34"/>
      <c r="B14" s="202"/>
      <c r="C14" s="203"/>
      <c r="D14" s="5"/>
      <c r="E14" s="107" t="s">
        <v>102</v>
      </c>
      <c r="F14" s="43"/>
      <c r="G14" s="18">
        <v>1.5</v>
      </c>
      <c r="H14" s="35"/>
      <c r="I14" s="18">
        <v>3</v>
      </c>
      <c r="J14" s="35"/>
      <c r="K14" s="171">
        <v>40.000999999999998</v>
      </c>
      <c r="L14" s="145">
        <f t="shared" si="2"/>
        <v>25.001000000000001</v>
      </c>
      <c r="M14" s="46"/>
      <c r="N14" s="60">
        <f>K14*(K14/L14+I14)/(2+I14)</f>
        <v>36.800728002879886</v>
      </c>
      <c r="O14" s="17"/>
      <c r="P14" s="23"/>
      <c r="Q14" s="23"/>
      <c r="R14" s="149"/>
      <c r="S14" s="149"/>
      <c r="T14" s="149"/>
      <c r="U14" s="163" t="s">
        <v>128</v>
      </c>
      <c r="V14" s="159">
        <v>50</v>
      </c>
      <c r="W14" s="164" t="s">
        <v>137</v>
      </c>
      <c r="X14" s="160"/>
    </row>
    <row r="15" spans="1:24" ht="12.75" customHeight="1" thickBot="1" x14ac:dyDescent="0.3">
      <c r="A15" s="34"/>
      <c r="B15" s="202"/>
      <c r="C15" s="203"/>
      <c r="D15" s="5"/>
      <c r="E15" s="107" t="s">
        <v>115</v>
      </c>
      <c r="F15" s="43"/>
      <c r="G15" s="18">
        <v>1.5</v>
      </c>
      <c r="H15" s="35"/>
      <c r="I15" s="18">
        <v>3</v>
      </c>
      <c r="J15" s="35"/>
      <c r="K15" s="146">
        <v>30.001000000000001</v>
      </c>
      <c r="L15" s="145">
        <f t="shared" si="2"/>
        <v>25.001000000000001</v>
      </c>
      <c r="M15" s="46"/>
      <c r="N15" s="60">
        <f>K15*(K15/L15+I15)/(2+I15)</f>
        <v>25.200792000319989</v>
      </c>
      <c r="O15" s="17"/>
      <c r="P15" s="23"/>
      <c r="Q15" s="23"/>
      <c r="R15" s="149"/>
      <c r="S15" s="149"/>
      <c r="T15" s="149"/>
      <c r="U15" s="165" t="s">
        <v>135</v>
      </c>
      <c r="V15" s="166">
        <v>93</v>
      </c>
      <c r="W15" s="167" t="s">
        <v>112</v>
      </c>
      <c r="X15" s="168"/>
    </row>
    <row r="16" spans="1:24" ht="6" customHeight="1" x14ac:dyDescent="0.25">
      <c r="A16" s="34"/>
      <c r="B16" s="6"/>
      <c r="C16" s="5"/>
      <c r="D16" s="5"/>
      <c r="E16" s="5"/>
      <c r="F16" s="5"/>
      <c r="G16" s="5"/>
      <c r="H16" s="22"/>
      <c r="I16" s="5"/>
      <c r="J16" s="22"/>
      <c r="K16" s="5"/>
      <c r="L16" s="5"/>
      <c r="M16" s="5"/>
      <c r="N16" s="22"/>
      <c r="O16" s="95"/>
      <c r="P16" s="22"/>
      <c r="Q16" s="22"/>
      <c r="R16" s="149"/>
      <c r="S16" s="149"/>
      <c r="T16" s="149"/>
      <c r="U16" s="52"/>
      <c r="V16" s="59"/>
      <c r="W16" s="55"/>
    </row>
    <row r="17" spans="1:23" x14ac:dyDescent="0.25">
      <c r="A17" s="34"/>
      <c r="B17" s="197" t="s">
        <v>67</v>
      </c>
      <c r="C17" s="199"/>
      <c r="D17" s="31"/>
      <c r="E17" s="91" t="s">
        <v>0</v>
      </c>
      <c r="F17" s="27"/>
      <c r="G17" s="92" t="s">
        <v>6</v>
      </c>
      <c r="H17" s="22"/>
      <c r="I17" s="89" t="s">
        <v>138</v>
      </c>
      <c r="J17" s="35"/>
      <c r="K17" s="89" t="s">
        <v>29</v>
      </c>
      <c r="L17" s="89" t="s">
        <v>30</v>
      </c>
      <c r="M17" s="9"/>
      <c r="N17" s="175"/>
      <c r="O17" s="176"/>
      <c r="P17" s="58"/>
      <c r="Q17" s="58"/>
      <c r="R17" s="149"/>
      <c r="S17" s="149"/>
      <c r="T17" s="149"/>
      <c r="U17" s="59"/>
      <c r="V17" s="59"/>
      <c r="W17" s="55"/>
    </row>
    <row r="18" spans="1:23" x14ac:dyDescent="0.25">
      <c r="A18" s="34"/>
      <c r="B18" s="200" t="s">
        <v>98</v>
      </c>
      <c r="C18" s="206"/>
      <c r="D18" s="23"/>
      <c r="E18" s="91" t="s">
        <v>1</v>
      </c>
      <c r="F18" s="22"/>
      <c r="G18" s="23"/>
      <c r="H18" s="22"/>
      <c r="I18" s="44"/>
      <c r="J18" s="35"/>
      <c r="K18" s="44"/>
      <c r="L18" s="44"/>
      <c r="M18" s="9"/>
      <c r="N18" s="177"/>
      <c r="O18" s="178"/>
      <c r="P18" s="58"/>
      <c r="Q18" s="58"/>
      <c r="R18" s="149"/>
      <c r="S18" s="149"/>
      <c r="T18" s="149"/>
      <c r="U18" s="59"/>
      <c r="V18" s="61"/>
      <c r="W18" s="62"/>
    </row>
    <row r="19" spans="1:23" x14ac:dyDescent="0.25">
      <c r="A19" s="34"/>
      <c r="B19" s="209"/>
      <c r="C19" s="210"/>
      <c r="D19" s="23"/>
      <c r="E19" s="91" t="s">
        <v>61</v>
      </c>
      <c r="F19" s="22"/>
      <c r="G19" s="23"/>
      <c r="H19" s="22"/>
      <c r="I19" s="22"/>
      <c r="J19" s="35"/>
      <c r="K19" s="48"/>
      <c r="L19" s="48"/>
      <c r="M19" s="9"/>
      <c r="N19" s="177"/>
      <c r="O19" s="178"/>
      <c r="P19" s="58"/>
      <c r="Q19" s="58"/>
      <c r="R19" s="149"/>
      <c r="S19" s="149"/>
      <c r="T19" s="149"/>
      <c r="U19" s="52"/>
      <c r="V19" s="61"/>
      <c r="W19" s="62"/>
    </row>
    <row r="20" spans="1:23" x14ac:dyDescent="0.25">
      <c r="A20" s="34"/>
      <c r="B20" s="209"/>
      <c r="C20" s="210"/>
      <c r="D20" s="23"/>
      <c r="E20" s="91" t="s">
        <v>62</v>
      </c>
      <c r="F20" s="22"/>
      <c r="G20" s="23"/>
      <c r="H20" s="22"/>
      <c r="I20" s="14"/>
      <c r="J20" s="49"/>
      <c r="K20" s="112"/>
      <c r="L20" s="112"/>
      <c r="M20" s="9"/>
      <c r="N20" s="177"/>
      <c r="O20" s="178"/>
      <c r="P20" s="58"/>
      <c r="Q20" s="58"/>
      <c r="R20" s="149"/>
      <c r="S20" s="149"/>
      <c r="T20" s="149"/>
      <c r="U20" s="52"/>
      <c r="V20" s="61"/>
      <c r="W20" s="62"/>
    </row>
    <row r="21" spans="1:23" ht="15" customHeight="1" x14ac:dyDescent="0.25">
      <c r="A21" s="34"/>
      <c r="B21" s="207"/>
      <c r="C21" s="208"/>
      <c r="D21" s="22"/>
      <c r="E21" s="91" t="s">
        <v>63</v>
      </c>
      <c r="F21" s="22"/>
      <c r="G21" s="22"/>
      <c r="H21" s="22"/>
      <c r="I21" s="50"/>
      <c r="J21" s="51"/>
      <c r="K21" s="50"/>
      <c r="L21" s="50"/>
      <c r="M21" s="119"/>
      <c r="N21" s="177"/>
      <c r="O21" s="178"/>
      <c r="P21" s="63"/>
      <c r="Q21" s="63"/>
      <c r="R21" s="149"/>
      <c r="S21" s="149"/>
      <c r="T21" s="149"/>
      <c r="U21" s="52"/>
      <c r="V21" s="61"/>
      <c r="W21" s="62"/>
    </row>
    <row r="22" spans="1:23" ht="6" customHeight="1" x14ac:dyDescent="0.25">
      <c r="A22" s="34"/>
      <c r="B22" s="69"/>
      <c r="C22" s="22"/>
      <c r="D22" s="22"/>
      <c r="E22" s="22"/>
      <c r="F22" s="22"/>
      <c r="G22" s="22"/>
      <c r="H22" s="22"/>
      <c r="I22" s="5"/>
      <c r="J22" s="22"/>
      <c r="K22" s="5"/>
      <c r="L22" s="5"/>
      <c r="M22" s="22"/>
      <c r="N22" s="177"/>
      <c r="O22" s="178"/>
      <c r="P22" s="22"/>
      <c r="Q22" s="22"/>
      <c r="R22" s="149"/>
      <c r="S22" s="149"/>
      <c r="T22" s="149"/>
      <c r="U22" s="52"/>
      <c r="V22" s="59"/>
      <c r="W22" s="55"/>
    </row>
    <row r="23" spans="1:23" ht="13.8" x14ac:dyDescent="0.25">
      <c r="A23" s="34"/>
      <c r="B23" s="197" t="s">
        <v>33</v>
      </c>
      <c r="C23" s="199"/>
      <c r="D23" s="31"/>
      <c r="E23" s="93" t="s">
        <v>140</v>
      </c>
      <c r="F23" s="27"/>
      <c r="G23" s="127" t="s">
        <v>107</v>
      </c>
      <c r="H23" s="22"/>
      <c r="I23" s="14"/>
      <c r="J23" s="23"/>
      <c r="K23" s="14"/>
      <c r="L23" s="14"/>
      <c r="M23" s="23"/>
      <c r="N23" s="179"/>
      <c r="O23" s="180"/>
      <c r="P23" s="23"/>
      <c r="Q23" s="23"/>
      <c r="R23" s="149"/>
      <c r="S23" s="149"/>
      <c r="T23" s="149"/>
      <c r="U23" s="59"/>
      <c r="V23" s="59"/>
      <c r="W23" s="55"/>
    </row>
    <row r="24" spans="1:23" x14ac:dyDescent="0.25">
      <c r="A24" s="34"/>
      <c r="B24" s="200" t="s">
        <v>143</v>
      </c>
      <c r="C24" s="206"/>
      <c r="D24" s="23"/>
      <c r="E24" s="91" t="s">
        <v>32</v>
      </c>
      <c r="F24" s="27"/>
      <c r="G24" s="92" t="s">
        <v>18</v>
      </c>
      <c r="H24" s="22"/>
      <c r="I24" s="14"/>
      <c r="J24" s="23"/>
      <c r="K24" s="14"/>
      <c r="L24" s="14"/>
      <c r="M24" s="23"/>
      <c r="N24" s="175"/>
      <c r="O24" s="176"/>
      <c r="P24" s="23"/>
      <c r="Q24" s="23"/>
      <c r="R24" s="149"/>
      <c r="S24" s="149"/>
      <c r="T24" s="149"/>
      <c r="U24" s="52"/>
      <c r="V24" s="59"/>
      <c r="W24" s="55"/>
    </row>
    <row r="25" spans="1:23" x14ac:dyDescent="0.25">
      <c r="A25" s="34"/>
      <c r="B25" s="209"/>
      <c r="C25" s="210"/>
      <c r="D25" s="23"/>
      <c r="E25" s="91" t="s">
        <v>31</v>
      </c>
      <c r="F25" s="27"/>
      <c r="G25" s="92" t="s">
        <v>18</v>
      </c>
      <c r="H25" s="22"/>
      <c r="I25" s="14"/>
      <c r="J25" s="23"/>
      <c r="K25" s="14"/>
      <c r="L25" s="14"/>
      <c r="M25" s="23"/>
      <c r="N25" s="177"/>
      <c r="O25" s="178"/>
      <c r="P25" s="23"/>
      <c r="Q25" s="23"/>
      <c r="R25" s="149"/>
      <c r="S25" s="149"/>
      <c r="T25" s="149"/>
      <c r="U25" s="52"/>
      <c r="V25" s="59"/>
      <c r="W25" s="55"/>
    </row>
    <row r="26" spans="1:23" x14ac:dyDescent="0.25">
      <c r="A26" s="34"/>
      <c r="B26" s="209"/>
      <c r="C26" s="210"/>
      <c r="D26" s="23"/>
      <c r="E26" s="93" t="s">
        <v>141</v>
      </c>
      <c r="F26" s="27"/>
      <c r="G26" s="92"/>
      <c r="H26" s="22"/>
      <c r="I26" s="14"/>
      <c r="J26" s="23"/>
      <c r="K26" s="14"/>
      <c r="L26" s="14"/>
      <c r="M26" s="23"/>
      <c r="N26" s="177"/>
      <c r="O26" s="178"/>
      <c r="P26" s="23"/>
      <c r="Q26" s="23"/>
      <c r="R26" s="149"/>
      <c r="S26" s="149"/>
      <c r="T26" s="149"/>
      <c r="U26" s="52"/>
      <c r="V26" s="59"/>
      <c r="W26" s="55"/>
    </row>
    <row r="27" spans="1:23" x14ac:dyDescent="0.25">
      <c r="A27" s="34"/>
      <c r="B27" s="209"/>
      <c r="C27" s="210"/>
      <c r="D27" s="23"/>
      <c r="E27" s="91" t="s">
        <v>89</v>
      </c>
      <c r="F27" s="27"/>
      <c r="G27" s="92" t="s">
        <v>18</v>
      </c>
      <c r="H27" s="22"/>
      <c r="I27" s="14"/>
      <c r="J27" s="23"/>
      <c r="K27" s="14"/>
      <c r="L27" s="14"/>
      <c r="M27" s="23"/>
      <c r="N27" s="177"/>
      <c r="O27" s="178"/>
      <c r="P27" s="23"/>
      <c r="Q27" s="23"/>
      <c r="R27" s="149"/>
      <c r="S27" s="149"/>
      <c r="T27" s="149"/>
      <c r="U27" s="52"/>
      <c r="V27" s="59"/>
      <c r="W27" s="55"/>
    </row>
    <row r="28" spans="1:23" x14ac:dyDescent="0.25">
      <c r="A28" s="34"/>
      <c r="B28" s="209"/>
      <c r="C28" s="210"/>
      <c r="D28" s="23"/>
      <c r="E28" s="91" t="s">
        <v>84</v>
      </c>
      <c r="F28" s="27"/>
      <c r="G28" s="92" t="s">
        <v>83</v>
      </c>
      <c r="H28" s="22"/>
      <c r="I28" s="14"/>
      <c r="J28" s="23"/>
      <c r="K28" s="14"/>
      <c r="L28" s="14"/>
      <c r="M28" s="23"/>
      <c r="N28" s="177"/>
      <c r="O28" s="178"/>
      <c r="P28" s="23"/>
      <c r="Q28" s="23"/>
      <c r="R28" s="149"/>
      <c r="S28" s="149"/>
      <c r="T28" s="149"/>
      <c r="U28" s="59"/>
      <c r="V28" s="59"/>
      <c r="W28" s="55"/>
    </row>
    <row r="29" spans="1:23" x14ac:dyDescent="0.25">
      <c r="A29" s="34"/>
      <c r="B29" s="209"/>
      <c r="C29" s="210"/>
      <c r="D29" s="22"/>
      <c r="E29" s="91" t="s">
        <v>43</v>
      </c>
      <c r="F29" s="27"/>
      <c r="G29" s="92" t="s">
        <v>83</v>
      </c>
      <c r="H29" s="22"/>
      <c r="I29" s="14"/>
      <c r="J29" s="23"/>
      <c r="K29" s="14"/>
      <c r="L29" s="14"/>
      <c r="M29" s="23"/>
      <c r="N29" s="177"/>
      <c r="O29" s="178"/>
      <c r="P29" s="23"/>
      <c r="Q29" s="23"/>
      <c r="R29" s="149"/>
      <c r="S29" s="149"/>
      <c r="T29" s="149"/>
      <c r="U29" s="59"/>
      <c r="V29" s="59"/>
      <c r="W29" s="55"/>
    </row>
    <row r="30" spans="1:23" x14ac:dyDescent="0.25">
      <c r="A30" s="34"/>
      <c r="B30" s="207"/>
      <c r="C30" s="208"/>
      <c r="D30" s="22"/>
      <c r="E30" s="93" t="s">
        <v>142</v>
      </c>
      <c r="F30" s="27"/>
      <c r="G30" s="92"/>
      <c r="H30" s="22"/>
      <c r="I30" s="14"/>
      <c r="J30" s="23"/>
      <c r="K30" s="14"/>
      <c r="L30" s="14"/>
      <c r="M30" s="23"/>
      <c r="N30" s="179"/>
      <c r="O30" s="180"/>
      <c r="P30" s="23"/>
      <c r="Q30" s="23"/>
      <c r="R30" s="149"/>
      <c r="S30" s="149"/>
      <c r="T30" s="149"/>
      <c r="U30" s="59"/>
      <c r="V30" s="59"/>
      <c r="W30" s="55"/>
    </row>
    <row r="31" spans="1:23" ht="6" customHeight="1" x14ac:dyDescent="0.25">
      <c r="A31" s="34"/>
      <c r="B31" s="69"/>
      <c r="C31" s="22"/>
      <c r="D31" s="22"/>
      <c r="E31" s="22"/>
      <c r="F31" s="22"/>
      <c r="G31" s="22"/>
      <c r="H31" s="22"/>
      <c r="I31" s="5"/>
      <c r="J31" s="22"/>
      <c r="K31" s="5"/>
      <c r="L31" s="5"/>
      <c r="M31" s="22"/>
      <c r="N31" s="22"/>
      <c r="O31" s="22"/>
      <c r="P31" s="22"/>
      <c r="Q31" s="22"/>
      <c r="R31" s="149"/>
      <c r="S31" s="149"/>
      <c r="T31" s="149"/>
      <c r="U31" s="52"/>
      <c r="V31" s="59"/>
      <c r="W31" s="55"/>
    </row>
    <row r="32" spans="1:23" ht="15" customHeight="1" x14ac:dyDescent="0.25">
      <c r="A32" s="34"/>
      <c r="B32" s="197" t="s">
        <v>25</v>
      </c>
      <c r="C32" s="199"/>
      <c r="D32" s="31"/>
      <c r="E32" s="93" t="s">
        <v>106</v>
      </c>
      <c r="F32" s="94"/>
      <c r="G32" s="92" t="s">
        <v>83</v>
      </c>
      <c r="H32" s="22"/>
      <c r="I32" s="15">
        <v>20.001000000000001</v>
      </c>
      <c r="J32" s="24"/>
      <c r="K32" s="15">
        <f>+I32+0.001</f>
        <v>20.002000000000002</v>
      </c>
      <c r="L32" s="15">
        <f>+K32+0.001</f>
        <v>20.003000000000004</v>
      </c>
      <c r="M32" s="24"/>
      <c r="N32" s="21">
        <f>SUM(K32:L32)</f>
        <v>40.00500000000001</v>
      </c>
      <c r="O32" s="22"/>
      <c r="P32" s="22"/>
      <c r="Q32" s="22"/>
      <c r="R32" s="149"/>
      <c r="S32" s="149"/>
      <c r="T32" s="149"/>
      <c r="U32" s="59"/>
      <c r="V32" s="59"/>
      <c r="W32" s="55"/>
    </row>
    <row r="33" spans="1:24" ht="12.75" customHeight="1" x14ac:dyDescent="0.25">
      <c r="A33" s="34"/>
      <c r="B33" s="200" t="s">
        <v>90</v>
      </c>
      <c r="C33" s="206"/>
      <c r="D33" s="22"/>
      <c r="E33" s="91" t="s">
        <v>144</v>
      </c>
      <c r="F33" s="27"/>
      <c r="G33" s="92" t="s">
        <v>8</v>
      </c>
      <c r="H33" s="22"/>
      <c r="I33" s="11">
        <f>+I37/(I32*60)*I36/100</f>
        <v>4.999250920698973</v>
      </c>
      <c r="J33" s="24"/>
      <c r="K33" s="11">
        <f>+K37/(K32*60)*K36/100</f>
        <v>4.9985012663167456</v>
      </c>
      <c r="L33" s="11">
        <f>+L37/(L32*60)*L36/100</f>
        <v>4.9977517867971102</v>
      </c>
      <c r="M33" s="24"/>
      <c r="N33" s="22"/>
      <c r="O33" s="22"/>
      <c r="P33" s="22"/>
      <c r="Q33" s="22"/>
      <c r="R33" s="149"/>
      <c r="S33" s="149"/>
      <c r="T33" s="149"/>
      <c r="U33" s="52"/>
      <c r="V33" s="65"/>
      <c r="W33" s="66"/>
      <c r="X33" s="131"/>
    </row>
    <row r="34" spans="1:24" x14ac:dyDescent="0.25">
      <c r="A34" s="34"/>
      <c r="B34" s="209"/>
      <c r="C34" s="210"/>
      <c r="D34" s="22"/>
      <c r="E34" s="91" t="s">
        <v>109</v>
      </c>
      <c r="F34" s="27"/>
      <c r="G34" s="92" t="s">
        <v>8</v>
      </c>
      <c r="H34" s="22"/>
      <c r="I34" s="11">
        <f>60-I33</f>
        <v>55.000749079301031</v>
      </c>
      <c r="J34" s="24"/>
      <c r="K34" s="11">
        <f>60-K33</f>
        <v>55.001498733683256</v>
      </c>
      <c r="L34" s="11">
        <f>60-L33</f>
        <v>55.00224821320289</v>
      </c>
      <c r="M34" s="24"/>
      <c r="N34" s="22"/>
      <c r="O34" s="22"/>
      <c r="P34" s="22"/>
      <c r="Q34" s="22"/>
      <c r="R34" s="149"/>
      <c r="S34" s="149"/>
      <c r="T34" s="149"/>
      <c r="U34" s="52"/>
      <c r="V34" s="67"/>
      <c r="W34" s="68"/>
      <c r="X34" s="132"/>
    </row>
    <row r="35" spans="1:24" x14ac:dyDescent="0.25">
      <c r="A35" s="34"/>
      <c r="B35" s="209"/>
      <c r="C35" s="210"/>
      <c r="D35" s="22"/>
      <c r="E35" s="91" t="s">
        <v>110</v>
      </c>
      <c r="F35" s="27"/>
      <c r="G35" s="92" t="s">
        <v>111</v>
      </c>
      <c r="H35" s="22"/>
      <c r="I35" s="147">
        <v>1.0001</v>
      </c>
      <c r="J35" s="24"/>
      <c r="K35" s="147">
        <f>+I35+0.0001</f>
        <v>1.0002</v>
      </c>
      <c r="L35" s="147">
        <f>+K35+0.0001</f>
        <v>1.0003</v>
      </c>
      <c r="M35" s="24"/>
      <c r="N35" s="22"/>
      <c r="O35" s="22"/>
      <c r="P35" s="22"/>
      <c r="Q35" s="22"/>
      <c r="R35" s="153"/>
      <c r="S35" s="149"/>
      <c r="T35" s="149"/>
      <c r="U35" s="52"/>
      <c r="V35" s="67"/>
      <c r="W35" s="68"/>
      <c r="X35" s="132"/>
    </row>
    <row r="36" spans="1:24" x14ac:dyDescent="0.25">
      <c r="A36" s="34"/>
      <c r="B36" s="209"/>
      <c r="C36" s="210"/>
      <c r="D36" s="22"/>
      <c r="E36" s="91" t="s">
        <v>39</v>
      </c>
      <c r="F36" s="27"/>
      <c r="G36" s="92" t="s">
        <v>112</v>
      </c>
      <c r="H36" s="22"/>
      <c r="I36" s="11">
        <f>100/I35</f>
        <v>99.990000999900005</v>
      </c>
      <c r="J36" s="24"/>
      <c r="K36" s="11">
        <f>100/K35</f>
        <v>99.980003999200164</v>
      </c>
      <c r="L36" s="11">
        <f>100/L35</f>
        <v>99.970008997300809</v>
      </c>
      <c r="M36" s="24"/>
      <c r="N36" s="22"/>
      <c r="O36" s="22"/>
      <c r="P36" s="22"/>
      <c r="Q36" s="22"/>
      <c r="R36" s="149"/>
      <c r="S36" s="149"/>
      <c r="T36" s="149"/>
      <c r="U36" s="52"/>
      <c r="V36" s="59"/>
      <c r="W36" s="55"/>
    </row>
    <row r="37" spans="1:24" x14ac:dyDescent="0.25">
      <c r="A37" s="34"/>
      <c r="B37" s="209"/>
      <c r="C37" s="210"/>
      <c r="D37" s="22"/>
      <c r="E37" s="91" t="s">
        <v>35</v>
      </c>
      <c r="F37" s="27"/>
      <c r="G37" s="92" t="s">
        <v>91</v>
      </c>
      <c r="H37" s="22"/>
      <c r="I37" s="15">
        <v>6000.0010000000002</v>
      </c>
      <c r="J37" s="24"/>
      <c r="K37" s="15">
        <f>+I37+0.0001</f>
        <v>6000.0011000000004</v>
      </c>
      <c r="L37" s="15">
        <f>+K37+0.0001</f>
        <v>6000.0012000000006</v>
      </c>
      <c r="M37" s="120"/>
      <c r="N37" s="21">
        <f>SUM(K37:L37)</f>
        <v>12000.0023</v>
      </c>
      <c r="O37" s="22"/>
      <c r="P37" s="22"/>
      <c r="Q37" s="22"/>
      <c r="R37" s="149"/>
      <c r="S37" s="149"/>
      <c r="T37" s="149"/>
      <c r="U37" s="52"/>
      <c r="V37" s="59"/>
      <c r="W37" s="55"/>
    </row>
    <row r="38" spans="1:24" x14ac:dyDescent="0.25">
      <c r="A38" s="34"/>
      <c r="B38" s="209"/>
      <c r="C38" s="210"/>
      <c r="D38" s="22"/>
      <c r="E38" s="91" t="s">
        <v>117</v>
      </c>
      <c r="F38" s="27"/>
      <c r="G38" s="92" t="s">
        <v>91</v>
      </c>
      <c r="H38" s="22"/>
      <c r="I38" s="15">
        <v>3000.0010000000002</v>
      </c>
      <c r="J38" s="24"/>
      <c r="K38" s="15">
        <f>+I38+0.0001</f>
        <v>3000.0011000000004</v>
      </c>
      <c r="L38" s="15">
        <f>+K38+0.0001</f>
        <v>3000.0012000000006</v>
      </c>
      <c r="M38" s="120"/>
      <c r="N38" s="21">
        <f>SUM(K38:L38)</f>
        <v>6000.002300000001</v>
      </c>
      <c r="O38" s="22"/>
      <c r="P38" s="22"/>
      <c r="Q38" s="22"/>
      <c r="R38" s="153"/>
      <c r="S38" s="149"/>
      <c r="T38" s="149"/>
      <c r="U38" s="52"/>
      <c r="V38" s="59"/>
      <c r="W38" s="55"/>
    </row>
    <row r="39" spans="1:24" x14ac:dyDescent="0.25">
      <c r="A39" s="34"/>
      <c r="B39" s="209"/>
      <c r="C39" s="210"/>
      <c r="D39" s="22"/>
      <c r="E39" s="91" t="s">
        <v>118</v>
      </c>
      <c r="F39" s="27"/>
      <c r="G39" s="92" t="s">
        <v>91</v>
      </c>
      <c r="H39" s="22"/>
      <c r="I39" s="15">
        <v>3000.0010000000002</v>
      </c>
      <c r="J39" s="24"/>
      <c r="K39" s="15">
        <f>+I39+0.0001</f>
        <v>3000.0011000000004</v>
      </c>
      <c r="L39" s="15">
        <f>+K39+0.0001</f>
        <v>3000.0012000000006</v>
      </c>
      <c r="M39" s="120"/>
      <c r="N39" s="21">
        <f>SUM(K39:L39)</f>
        <v>6000.002300000001</v>
      </c>
      <c r="O39" s="22"/>
      <c r="P39" s="22"/>
      <c r="Q39" s="22"/>
      <c r="R39" s="153"/>
      <c r="S39" s="149"/>
      <c r="T39" s="149"/>
      <c r="U39" s="52"/>
      <c r="V39" s="59"/>
      <c r="W39" s="55"/>
    </row>
    <row r="40" spans="1:24" x14ac:dyDescent="0.25">
      <c r="A40" s="34"/>
      <c r="B40" s="209"/>
      <c r="C40" s="210"/>
      <c r="D40" s="22"/>
      <c r="E40" s="91" t="s">
        <v>119</v>
      </c>
      <c r="F40" s="27"/>
      <c r="G40" s="92" t="s">
        <v>91</v>
      </c>
      <c r="H40" s="22"/>
      <c r="I40" s="11">
        <f>+I37-I38-I39</f>
        <v>-1.0000000002037268E-3</v>
      </c>
      <c r="J40" s="25"/>
      <c r="K40" s="11">
        <f>+K37-K38-K39</f>
        <v>-1.1000000004059984E-3</v>
      </c>
      <c r="L40" s="11">
        <f>+L37-L38-L39</f>
        <v>-1.2000000006082701E-3</v>
      </c>
      <c r="M40" s="121"/>
      <c r="N40" s="21">
        <f>SUM(K40:L40)</f>
        <v>-2.3000000010142685E-3</v>
      </c>
      <c r="O40" s="22"/>
      <c r="P40" s="22"/>
      <c r="Q40" s="22"/>
      <c r="R40" s="149"/>
      <c r="S40" s="149"/>
      <c r="T40" s="149"/>
      <c r="U40" s="52"/>
      <c r="V40" s="59"/>
      <c r="W40" s="55"/>
    </row>
    <row r="41" spans="1:24" x14ac:dyDescent="0.25">
      <c r="A41" s="34"/>
      <c r="B41" s="209"/>
      <c r="C41" s="210"/>
      <c r="D41" s="73"/>
      <c r="E41" s="93" t="s">
        <v>145</v>
      </c>
      <c r="F41" s="27"/>
      <c r="G41" s="92" t="s">
        <v>36</v>
      </c>
      <c r="H41" s="27"/>
      <c r="I41" s="12">
        <f>I37/3600*0.407</f>
        <v>0.67833344638888882</v>
      </c>
      <c r="J41" s="25"/>
      <c r="K41" s="12">
        <f>K37/3600*0.407</f>
        <v>0.67833345769444442</v>
      </c>
      <c r="L41" s="12">
        <f>L37/3600*0.407</f>
        <v>0.67833346900000002</v>
      </c>
      <c r="M41" s="121"/>
      <c r="N41" s="64">
        <f>SUM(K41:L41)</f>
        <v>1.3566669266944444</v>
      </c>
      <c r="O41" s="22"/>
      <c r="P41" s="22"/>
      <c r="Q41" s="22"/>
      <c r="R41" s="149"/>
      <c r="S41" s="149"/>
      <c r="T41" s="149"/>
      <c r="U41" s="52"/>
      <c r="V41" s="59"/>
      <c r="W41" s="55"/>
    </row>
    <row r="42" spans="1:24" x14ac:dyDescent="0.25">
      <c r="A42" s="34"/>
      <c r="B42" s="209"/>
      <c r="C42" s="210"/>
      <c r="D42" s="73"/>
      <c r="E42" s="91" t="s">
        <v>120</v>
      </c>
      <c r="F42" s="27"/>
      <c r="G42" s="96"/>
      <c r="H42" s="27"/>
      <c r="I42" s="172">
        <f>I38/3600*0.407/I$41</f>
        <v>0.50000008333331947</v>
      </c>
      <c r="J42" s="25"/>
      <c r="K42" s="172">
        <f t="shared" ref="K42:L43" si="3">K38/3600*0.407/K$41</f>
        <v>0.50000009166664994</v>
      </c>
      <c r="L42" s="172">
        <f t="shared" si="3"/>
        <v>0.50000009999998007</v>
      </c>
      <c r="M42" s="121"/>
      <c r="N42" s="64">
        <f>N38/3600*0.407/N$41</f>
        <v>0.50000009583331506</v>
      </c>
      <c r="O42" s="22"/>
      <c r="P42" s="22"/>
      <c r="Q42" s="22"/>
      <c r="R42" s="149"/>
      <c r="S42" s="149"/>
      <c r="T42" s="149"/>
      <c r="U42" s="52"/>
      <c r="V42" s="59"/>
      <c r="W42" s="55"/>
    </row>
    <row r="43" spans="1:24" x14ac:dyDescent="0.25">
      <c r="A43" s="34"/>
      <c r="B43" s="209"/>
      <c r="C43" s="210"/>
      <c r="D43" s="73"/>
      <c r="E43" s="91" t="s">
        <v>121</v>
      </c>
      <c r="F43" s="27"/>
      <c r="G43" s="96"/>
      <c r="H43" s="27"/>
      <c r="I43" s="172">
        <f>I39/3600*0.407/I$41</f>
        <v>0.50000008333331947</v>
      </c>
      <c r="J43" s="25"/>
      <c r="K43" s="172">
        <f t="shared" si="3"/>
        <v>0.50000009166664994</v>
      </c>
      <c r="L43" s="172">
        <f t="shared" si="3"/>
        <v>0.50000009999998007</v>
      </c>
      <c r="M43" s="121"/>
      <c r="N43" s="64">
        <f>N39/3600*0.407/N$41</f>
        <v>0.50000009583331506</v>
      </c>
      <c r="O43" s="22"/>
      <c r="P43" s="22"/>
      <c r="Q43" s="22"/>
      <c r="R43" s="149"/>
      <c r="S43" s="149"/>
      <c r="T43" s="149"/>
      <c r="U43" s="52"/>
      <c r="V43" s="59"/>
      <c r="W43" s="55"/>
    </row>
    <row r="44" spans="1:24" x14ac:dyDescent="0.25">
      <c r="A44" s="34"/>
      <c r="B44" s="207"/>
      <c r="C44" s="208"/>
      <c r="D44" s="73"/>
      <c r="E44" s="91" t="s">
        <v>122</v>
      </c>
      <c r="F44" s="27"/>
      <c r="G44" s="96"/>
      <c r="H44" s="27"/>
      <c r="I44" s="172">
        <f>I40/3600*0.407/I$41</f>
        <v>-1.6666663892284798E-7</v>
      </c>
      <c r="J44" s="25"/>
      <c r="K44" s="172">
        <f>K40/3600*0.407/K$41</f>
        <v>-1.8333329978989474E-7</v>
      </c>
      <c r="L44" s="172">
        <f>L40/3600*0.407/L$41</f>
        <v>-1.9999996010138633E-7</v>
      </c>
      <c r="M44" s="121"/>
      <c r="N44" s="64">
        <f>N40/3600*0.407/N$41</f>
        <v>-1.9166663001508492E-7</v>
      </c>
      <c r="O44" s="22"/>
      <c r="P44" s="22"/>
      <c r="Q44" s="22"/>
      <c r="R44" s="149"/>
      <c r="S44" s="149"/>
      <c r="T44" s="149"/>
      <c r="U44" s="52"/>
      <c r="V44" s="59"/>
      <c r="W44" s="55"/>
    </row>
    <row r="45" spans="1:24" ht="6" customHeight="1" x14ac:dyDescent="0.25">
      <c r="A45" s="34"/>
      <c r="B45" s="22"/>
      <c r="C45" s="22"/>
      <c r="D45" s="22"/>
      <c r="E45" s="22"/>
      <c r="F45" s="22"/>
      <c r="G45" s="22"/>
      <c r="H45" s="22"/>
      <c r="I45" s="5"/>
      <c r="J45" s="22"/>
      <c r="K45" s="5"/>
      <c r="L45" s="5"/>
      <c r="M45" s="22"/>
      <c r="N45" s="69"/>
      <c r="O45" s="69"/>
      <c r="P45" s="22"/>
      <c r="Q45" s="22"/>
      <c r="R45" s="149"/>
      <c r="S45" s="149"/>
      <c r="T45" s="149"/>
      <c r="U45" s="52"/>
      <c r="V45" s="59"/>
      <c r="W45" s="55"/>
    </row>
    <row r="46" spans="1:24" ht="12.75" customHeight="1" x14ac:dyDescent="0.25">
      <c r="A46" s="34"/>
      <c r="B46" s="22"/>
      <c r="C46" s="22"/>
      <c r="D46" s="22"/>
      <c r="E46" s="22"/>
      <c r="F46" s="22"/>
      <c r="G46" s="22"/>
      <c r="H46" s="22"/>
      <c r="I46" s="5"/>
      <c r="J46" s="22"/>
      <c r="K46" s="5"/>
      <c r="L46" s="5"/>
      <c r="M46" s="22"/>
      <c r="N46" s="70" t="s">
        <v>24</v>
      </c>
      <c r="O46" s="70" t="s">
        <v>14</v>
      </c>
      <c r="P46" s="22"/>
      <c r="Q46" s="22"/>
      <c r="R46" s="57" t="s">
        <v>60</v>
      </c>
      <c r="S46" s="57" t="s">
        <v>113</v>
      </c>
      <c r="T46" s="149"/>
      <c r="U46" s="59"/>
      <c r="V46" s="59"/>
      <c r="W46" s="55"/>
    </row>
    <row r="47" spans="1:24" ht="12.75" customHeight="1" x14ac:dyDescent="0.25">
      <c r="A47" s="34"/>
      <c r="B47" s="69"/>
      <c r="C47" s="69"/>
      <c r="D47" s="22"/>
      <c r="E47" s="69"/>
      <c r="F47" s="22"/>
      <c r="G47" s="92" t="s">
        <v>6</v>
      </c>
      <c r="H47" s="22"/>
      <c r="I47" s="89" t="s">
        <v>42</v>
      </c>
      <c r="J47" s="35"/>
      <c r="K47" s="89" t="s">
        <v>29</v>
      </c>
      <c r="L47" s="89" t="s">
        <v>30</v>
      </c>
      <c r="M47" s="22"/>
      <c r="N47" s="96" t="s">
        <v>47</v>
      </c>
      <c r="O47" s="96" t="s">
        <v>47</v>
      </c>
      <c r="P47" s="22"/>
      <c r="Q47" s="22"/>
      <c r="R47" s="149"/>
      <c r="S47" s="149"/>
      <c r="T47" s="149"/>
      <c r="U47" s="59"/>
      <c r="V47" s="59"/>
      <c r="W47" s="55"/>
    </row>
    <row r="48" spans="1:24" ht="13.8" thickBot="1" x14ac:dyDescent="0.3">
      <c r="A48" s="34"/>
      <c r="B48" s="197" t="s">
        <v>97</v>
      </c>
      <c r="C48" s="198"/>
      <c r="D48" s="31"/>
      <c r="E48" s="91" t="s">
        <v>95</v>
      </c>
      <c r="F48" s="94"/>
      <c r="G48" s="96" t="s">
        <v>7</v>
      </c>
      <c r="H48" s="27"/>
      <c r="I48" s="16">
        <f>+(80-K7)/2+0.001</f>
        <v>17.500500000000002</v>
      </c>
      <c r="J48" s="26"/>
      <c r="K48" s="16">
        <f>+I48+0.001</f>
        <v>17.501500000000004</v>
      </c>
      <c r="L48" s="16">
        <f>+K48+0.001</f>
        <v>17.502500000000005</v>
      </c>
      <c r="M48" s="122"/>
      <c r="N48" s="71">
        <f>K48*(1+$V$53*(K48/K$32)/$I$7)/(1+2/$I$7)+L48*(1+$W$53*(L48/L$32)/$I$7)/(1+2/$I$7)</f>
        <v>39.207165386688878</v>
      </c>
      <c r="O48" s="72">
        <f>N48+$N$7</f>
        <v>83.458028722155461</v>
      </c>
      <c r="P48" s="26"/>
      <c r="Q48" s="26"/>
      <c r="R48" s="149"/>
      <c r="S48" s="149"/>
      <c r="T48" s="149"/>
      <c r="U48" s="59"/>
      <c r="V48" s="59"/>
      <c r="W48" s="55"/>
    </row>
    <row r="49" spans="1:24" ht="12.75" customHeight="1" thickBot="1" x14ac:dyDescent="0.3">
      <c r="A49" s="34"/>
      <c r="B49" s="200" t="s">
        <v>149</v>
      </c>
      <c r="C49" s="206"/>
      <c r="D49" s="22"/>
      <c r="E49" s="91" t="s">
        <v>105</v>
      </c>
      <c r="F49" s="27"/>
      <c r="G49" s="92" t="s">
        <v>7</v>
      </c>
      <c r="H49" s="22"/>
      <c r="I49" s="16"/>
      <c r="J49" s="26"/>
      <c r="K49" s="16">
        <f>I49</f>
        <v>0</v>
      </c>
      <c r="L49" s="16">
        <f>K49</f>
        <v>0</v>
      </c>
      <c r="M49" s="122"/>
      <c r="N49" s="71">
        <f>K49*(1+$V$53*(K49/K$32)/$I$7)/(1+2/$I$7)+L49*(1+$W$53*(L49/L$32)/$I$7)/(1+2/$I$7)</f>
        <v>0</v>
      </c>
      <c r="O49" s="77">
        <f>N49+$N$7</f>
        <v>44.250863335466583</v>
      </c>
      <c r="P49" s="73"/>
      <c r="Q49" s="73"/>
      <c r="R49" s="14">
        <v>65</v>
      </c>
      <c r="S49" s="18">
        <f>+R49-5</f>
        <v>60</v>
      </c>
      <c r="T49" s="149"/>
      <c r="U49" s="59"/>
      <c r="V49" s="61"/>
      <c r="W49" s="62"/>
    </row>
    <row r="50" spans="1:24" ht="12.75" customHeight="1" thickBot="1" x14ac:dyDescent="0.3">
      <c r="A50" s="34"/>
      <c r="B50" s="207"/>
      <c r="C50" s="208"/>
      <c r="D50" s="22"/>
      <c r="E50" s="91" t="s">
        <v>104</v>
      </c>
      <c r="F50" s="27"/>
      <c r="G50" s="92" t="s">
        <v>7</v>
      </c>
      <c r="H50" s="22"/>
      <c r="I50" s="16"/>
      <c r="J50" s="26"/>
      <c r="K50" s="16">
        <f>I50</f>
        <v>0</v>
      </c>
      <c r="L50" s="16">
        <f>+K50</f>
        <v>0</v>
      </c>
      <c r="M50" s="122"/>
      <c r="N50" s="71">
        <f>K50*(1+$V$53*(K50/K$32)/$I$7)/(1+2/$I$7)+L50*(1+$W$53*(L50/L$32)/$I$7)/(1+2/$I$7)</f>
        <v>0</v>
      </c>
      <c r="O50" s="77">
        <f>N50+$N$7</f>
        <v>44.250863335466583</v>
      </c>
      <c r="P50" s="26"/>
      <c r="Q50" s="26"/>
      <c r="R50" s="18">
        <f>+R49</f>
        <v>65</v>
      </c>
      <c r="S50" s="18">
        <f>+S49</f>
        <v>60</v>
      </c>
      <c r="T50" s="149"/>
      <c r="U50" s="141" t="s">
        <v>108</v>
      </c>
      <c r="V50" s="59"/>
      <c r="W50" s="55"/>
    </row>
    <row r="51" spans="1:24" ht="6" customHeight="1" x14ac:dyDescent="0.25">
      <c r="A51" s="34"/>
      <c r="B51" s="104"/>
      <c r="C51" s="22"/>
      <c r="D51" s="22"/>
      <c r="E51" s="22"/>
      <c r="F51" s="22"/>
      <c r="G51" s="22"/>
      <c r="H51" s="22"/>
      <c r="I51" s="5"/>
      <c r="J51" s="22"/>
      <c r="K51" s="5"/>
      <c r="L51" s="5"/>
      <c r="M51" s="22"/>
      <c r="N51" s="33"/>
      <c r="O51" s="102"/>
      <c r="P51" s="33"/>
      <c r="Q51" s="33"/>
      <c r="R51" s="148"/>
      <c r="S51" s="148"/>
      <c r="T51" s="149"/>
      <c r="U51" s="59"/>
      <c r="V51" s="141"/>
      <c r="W51" s="141"/>
    </row>
    <row r="52" spans="1:24" ht="12.75" customHeight="1" thickBot="1" x14ac:dyDescent="0.3">
      <c r="A52" s="34"/>
      <c r="B52" s="197" t="s">
        <v>5</v>
      </c>
      <c r="C52" s="198"/>
      <c r="D52" s="22"/>
      <c r="E52" s="93" t="s">
        <v>125</v>
      </c>
      <c r="F52" s="27"/>
      <c r="G52" s="92" t="s">
        <v>11</v>
      </c>
      <c r="H52" s="22"/>
      <c r="I52" s="16"/>
      <c r="J52" s="53"/>
      <c r="K52" s="16">
        <f>+I52</f>
        <v>0</v>
      </c>
      <c r="L52" s="16">
        <f>+K52</f>
        <v>0</v>
      </c>
      <c r="M52" s="123"/>
      <c r="N52" s="71">
        <f>IF(L52="","",AVERAGE(K52:L52))</f>
        <v>0</v>
      </c>
      <c r="O52" s="109" t="s">
        <v>82</v>
      </c>
      <c r="P52" s="33"/>
      <c r="Q52" s="33"/>
      <c r="R52" s="148"/>
      <c r="S52" s="148"/>
      <c r="T52" s="149"/>
      <c r="U52" s="59"/>
      <c r="V52" s="141" t="s">
        <v>29</v>
      </c>
      <c r="W52" s="141" t="s">
        <v>30</v>
      </c>
    </row>
    <row r="53" spans="1:24" ht="13.8" thickBot="1" x14ac:dyDescent="0.3">
      <c r="A53" s="34"/>
      <c r="B53" s="204"/>
      <c r="C53" s="205"/>
      <c r="D53" s="29"/>
      <c r="E53" s="91" t="s">
        <v>48</v>
      </c>
      <c r="F53" s="27"/>
      <c r="G53" s="92" t="s">
        <v>7</v>
      </c>
      <c r="H53" s="22"/>
      <c r="I53" s="16"/>
      <c r="J53" s="26"/>
      <c r="K53" s="16">
        <f>I53</f>
        <v>0</v>
      </c>
      <c r="L53" s="16">
        <f>+K53</f>
        <v>0</v>
      </c>
      <c r="M53" s="122"/>
      <c r="N53" s="81">
        <f>K53*(1+$V$53*(K53/K$32)/$I$7)/(1+2/$I$7)+L53*(1+$W$53*(L53/L$32)/$I$7)/(1+2/$I$7)</f>
        <v>0</v>
      </c>
      <c r="O53" s="77">
        <f>N53+$N$7</f>
        <v>44.250863335466583</v>
      </c>
      <c r="P53" s="26"/>
      <c r="Q53" s="26"/>
      <c r="R53" s="14">
        <v>95</v>
      </c>
      <c r="S53" s="14">
        <v>90</v>
      </c>
      <c r="T53" s="149"/>
      <c r="U53" s="133" t="s">
        <v>65</v>
      </c>
      <c r="V53" s="134">
        <f>(2/(LN(2)/$G$7*K$33/60))*(1-((K$32*V54-V56*V54*V54)/(K$32*LN(2)/$G$7*K$33/60)))</f>
        <v>3.9325104348805047</v>
      </c>
      <c r="W53" s="134">
        <f>(2/(LN(2)/$G$7*L$33/60))*(1-((L$32*W54-W56*W54*W54)/(L$32*LN(2)/$G$7*L$33/60)))</f>
        <v>3.9325351907146202</v>
      </c>
      <c r="X53" s="135"/>
    </row>
    <row r="54" spans="1:24" ht="6" customHeight="1" thickBot="1" x14ac:dyDescent="0.3">
      <c r="A54" s="34"/>
      <c r="B54" s="69"/>
      <c r="C54" s="22"/>
      <c r="D54" s="22"/>
      <c r="E54" s="22"/>
      <c r="F54" s="22"/>
      <c r="G54" s="22"/>
      <c r="H54" s="22"/>
      <c r="I54" s="10"/>
      <c r="J54" s="23"/>
      <c r="K54" s="10"/>
      <c r="L54" s="10"/>
      <c r="M54" s="23"/>
      <c r="N54" s="33"/>
      <c r="O54" s="103"/>
      <c r="P54" s="33"/>
      <c r="Q54" s="33"/>
      <c r="R54" s="148"/>
      <c r="S54" s="148"/>
      <c r="T54" s="149"/>
      <c r="U54" s="136" t="s">
        <v>26</v>
      </c>
      <c r="V54" s="76">
        <f>1-EXP(-K$33/60*LN(2)/$G$7)</f>
        <v>3.7765056380383855E-2</v>
      </c>
      <c r="W54" s="76">
        <f>1-EXP(-L$33/60*LN(2)/$G$7)</f>
        <v>3.7759502134535494E-2</v>
      </c>
      <c r="X54" s="142" t="s">
        <v>94</v>
      </c>
    </row>
    <row r="55" spans="1:24" ht="16.2" thickBot="1" x14ac:dyDescent="0.3">
      <c r="A55" s="34"/>
      <c r="B55" s="197" t="s">
        <v>12</v>
      </c>
      <c r="C55" s="198"/>
      <c r="D55" s="97"/>
      <c r="E55" s="91" t="s">
        <v>13</v>
      </c>
      <c r="F55" s="27"/>
      <c r="G55" s="92" t="s">
        <v>11</v>
      </c>
      <c r="H55" s="22"/>
      <c r="I55" s="16"/>
      <c r="J55" s="53"/>
      <c r="K55" s="16">
        <f>+I55</f>
        <v>0</v>
      </c>
      <c r="L55" s="16">
        <f>+K55</f>
        <v>0</v>
      </c>
      <c r="M55" s="123"/>
      <c r="N55" s="71">
        <f>IF(L55="","",AVERAGE(K55:L55))</f>
        <v>0</v>
      </c>
      <c r="O55" s="109" t="s">
        <v>82</v>
      </c>
      <c r="P55" s="30"/>
      <c r="Q55" s="30"/>
      <c r="R55" s="185" t="s">
        <v>152</v>
      </c>
      <c r="S55" s="184">
        <v>0.95</v>
      </c>
      <c r="T55" s="149"/>
      <c r="U55" s="136" t="s">
        <v>27</v>
      </c>
      <c r="V55" s="78">
        <f>EXP(-K$34/60*LN(2)/$G$7)</f>
        <v>0.65468473071423616</v>
      </c>
      <c r="W55" s="78">
        <f>EXP(-L$34/60*LN(2)/$G$7)</f>
        <v>0.65468095174218544</v>
      </c>
      <c r="X55" s="137"/>
    </row>
    <row r="56" spans="1:24" ht="13.8" thickBot="1" x14ac:dyDescent="0.3">
      <c r="A56" s="34"/>
      <c r="B56" s="230" t="s">
        <v>139</v>
      </c>
      <c r="C56" s="231"/>
      <c r="D56" s="29"/>
      <c r="E56" s="91" t="s">
        <v>48</v>
      </c>
      <c r="F56" s="27"/>
      <c r="G56" s="92" t="s">
        <v>7</v>
      </c>
      <c r="H56" s="22"/>
      <c r="I56" s="16"/>
      <c r="J56" s="26"/>
      <c r="K56" s="16">
        <f>I56</f>
        <v>0</v>
      </c>
      <c r="L56" s="16">
        <f>+K56</f>
        <v>0</v>
      </c>
      <c r="M56" s="122"/>
      <c r="N56" s="81">
        <f>K56*(1+$V$53*(K56/K$32)/$I$7)/(1+2/$I$7)+L56*(1+$W$53*(L56/L$32)/$I$7)/(1+2/$I$7)</f>
        <v>0</v>
      </c>
      <c r="O56" s="77">
        <f>N56+$N$7</f>
        <v>44.250863335466583</v>
      </c>
      <c r="P56" s="173" t="s">
        <v>129</v>
      </c>
      <c r="Q56" s="26"/>
      <c r="R56" s="183">
        <v>75</v>
      </c>
      <c r="S56" s="18">
        <f>+R56-5</f>
        <v>70</v>
      </c>
      <c r="T56" s="149"/>
      <c r="U56" s="138" t="s">
        <v>28</v>
      </c>
      <c r="V56" s="139">
        <f>(K$32*V55-V55-K$32*V55*V55*EXP(-LN(2)/$G$7*K$33/60)+POWER(V55,K$32+1)*EXP(-LN(2)/$G$7*K$32*K$33/60))/POWER(1-V55*EXP(-LN(2)/$G$7*K$33/60),2)</f>
        <v>30.607398863016279</v>
      </c>
      <c r="W56" s="139">
        <f>(L$32*W55-W55-L$32*W55*W55*EXP(-LN(2)/$G$7*L$33/60)+POWER(W55,L$32+1)*EXP(-LN(2)/$G$7*L$32*L$33/60))/POWER(1-W55*EXP(-LN(2)/$G$7*L$33/60),2)</f>
        <v>30.60899119635744</v>
      </c>
      <c r="X56" s="140"/>
    </row>
    <row r="57" spans="1:24" ht="13.8" thickBot="1" x14ac:dyDescent="0.3">
      <c r="A57" s="34"/>
      <c r="B57" s="230"/>
      <c r="C57" s="231"/>
      <c r="D57" s="29"/>
      <c r="E57" s="91" t="s">
        <v>9</v>
      </c>
      <c r="F57" s="27"/>
      <c r="G57" s="92" t="s">
        <v>7</v>
      </c>
      <c r="H57" s="22"/>
      <c r="I57" s="16"/>
      <c r="J57" s="26"/>
      <c r="K57" s="16">
        <f>+I57</f>
        <v>0</v>
      </c>
      <c r="L57" s="16">
        <f>+K57</f>
        <v>0</v>
      </c>
      <c r="M57" s="122"/>
      <c r="N57" s="71">
        <f>K57*(1+$V$53*(K57/K$32)/$I$7)/(1+2/$I$7)+L57*(1+$W$53*(L57/L$32)/$I$7)/(1+2/$I$7)</f>
        <v>0</v>
      </c>
      <c r="O57" s="77">
        <f>N57+$N$7</f>
        <v>44.250863335466583</v>
      </c>
      <c r="P57" s="182" t="str">
        <f>IF(C9="","N/A",IF(I32=20.001,"N/A",IF(I35=1.0001,"N/A",IF(N55=0,"N/A",IF(I57=0,"N/A",1-1/100*(100-$V$15)*EXP((O57-$V$13)*$V$7+(N55-$V$12)*$V$8+(C9-$V$14)*$V$9))))))</f>
        <v>N/A</v>
      </c>
      <c r="Q57" s="26"/>
      <c r="R57" s="186">
        <f>+O7</f>
        <v>90</v>
      </c>
      <c r="S57" s="187">
        <v>85</v>
      </c>
      <c r="T57" s="149"/>
      <c r="U57" s="133" t="s">
        <v>65</v>
      </c>
      <c r="V57" s="134">
        <f>(2/(LN(2)/$G$8*K$33/60))*(1-((K$32*V58-V60*V58*V58)/(K$32*LN(2)/$G$8*K$33/60)))</f>
        <v>3.9325104348805047</v>
      </c>
      <c r="W57" s="134">
        <f>(2/(LN(2)/$G$8*L$33/60))*(1-((L$32*W58-W60*W58*W58)/(L$32*LN(2)/$G$8*L$33/60)))</f>
        <v>3.9325351907146202</v>
      </c>
      <c r="X57" s="135"/>
    </row>
    <row r="58" spans="1:24" ht="13.8" thickBot="1" x14ac:dyDescent="0.3">
      <c r="A58" s="34"/>
      <c r="B58" s="230"/>
      <c r="C58" s="231"/>
      <c r="D58" s="29"/>
      <c r="E58" s="91" t="s">
        <v>46</v>
      </c>
      <c r="F58" s="27"/>
      <c r="G58" s="92" t="s">
        <v>7</v>
      </c>
      <c r="H58" s="22"/>
      <c r="I58" s="16"/>
      <c r="J58" s="26"/>
      <c r="K58" s="16">
        <f>I58</f>
        <v>0</v>
      </c>
      <c r="L58" s="16">
        <f>+K58</f>
        <v>0</v>
      </c>
      <c r="M58" s="122"/>
      <c r="N58" s="99">
        <f>K58*(1+$V$53*(K58/K$32)/$I$7)/(1+2/$I$7)+L58*(1+$W$53*(L58/L$32)/$I$7)/(1+2/$I$7)</f>
        <v>0</v>
      </c>
      <c r="O58" s="79">
        <f>N58+$N$7</f>
        <v>44.250863335466583</v>
      </c>
      <c r="P58" s="26"/>
      <c r="Q58" s="26"/>
      <c r="R58" s="188" t="s">
        <v>114</v>
      </c>
      <c r="S58" s="189">
        <v>95</v>
      </c>
      <c r="T58" s="149"/>
      <c r="U58" s="136" t="s">
        <v>26</v>
      </c>
      <c r="V58" s="76">
        <f>1-EXP(-K$33/60*LN(2)/$G$8)</f>
        <v>3.7765056380383855E-2</v>
      </c>
      <c r="W58" s="76">
        <f>1-EXP(-L$33/60*LN(2)/$G$8)</f>
        <v>3.7759502134535494E-2</v>
      </c>
      <c r="X58" s="142" t="s">
        <v>49</v>
      </c>
    </row>
    <row r="59" spans="1:24" ht="6" customHeight="1" x14ac:dyDescent="0.25">
      <c r="A59" s="34"/>
      <c r="B59" s="69"/>
      <c r="C59" s="22"/>
      <c r="D59" s="22"/>
      <c r="E59" s="22"/>
      <c r="F59" s="22"/>
      <c r="G59" s="22"/>
      <c r="H59" s="22"/>
      <c r="I59" s="10"/>
      <c r="J59" s="23"/>
      <c r="K59" s="10"/>
      <c r="L59" s="10"/>
      <c r="M59" s="23"/>
      <c r="N59" s="33"/>
      <c r="O59" s="103"/>
      <c r="P59" s="33"/>
      <c r="Q59" s="33"/>
      <c r="R59" s="148"/>
      <c r="S59" s="148"/>
      <c r="T59" s="149"/>
      <c r="U59" s="136" t="s">
        <v>27</v>
      </c>
      <c r="V59" s="78">
        <f>EXP(-K$34/60*LN(2)/$G$8)</f>
        <v>0.65468473071423616</v>
      </c>
      <c r="W59" s="78">
        <f>EXP(-L$34/60*LN(2)/$G$8)</f>
        <v>0.65468095174218544</v>
      </c>
      <c r="X59" s="137"/>
    </row>
    <row r="60" spans="1:24" ht="16.2" thickBot="1" x14ac:dyDescent="0.3">
      <c r="A60" s="34"/>
      <c r="B60" s="232" t="s">
        <v>40</v>
      </c>
      <c r="C60" s="233"/>
      <c r="D60" s="97"/>
      <c r="E60" s="91" t="s">
        <v>41</v>
      </c>
      <c r="F60" s="27"/>
      <c r="G60" s="92" t="s">
        <v>11</v>
      </c>
      <c r="H60" s="22"/>
      <c r="I60" s="16"/>
      <c r="J60" s="53"/>
      <c r="K60" s="16">
        <f>+I60</f>
        <v>0</v>
      </c>
      <c r="L60" s="16">
        <f>+K60</f>
        <v>0</v>
      </c>
      <c r="M60" s="122"/>
      <c r="N60" s="71">
        <f>IF(L60="","",AVERAGE(K60:L60))</f>
        <v>0</v>
      </c>
      <c r="O60" s="109" t="s">
        <v>82</v>
      </c>
      <c r="P60" s="30"/>
      <c r="Q60" s="30"/>
      <c r="R60" s="148"/>
      <c r="S60" s="148"/>
      <c r="T60" s="149"/>
      <c r="U60" s="138" t="s">
        <v>28</v>
      </c>
      <c r="V60" s="139">
        <f>(K$32*V59-V59-K$32*V59*V59*EXP(-LN(2)/$G$8*K$33/60)+POWER(V59,K$32+1)*EXP(-LN(2)/$G$8*K$32*K$33/60))/POWER(1-V59*EXP(-LN(2)/$G$8*K$33/60),2)</f>
        <v>30.607398863016279</v>
      </c>
      <c r="W60" s="139">
        <f>(L$32*W59-W59-L$32*W59*W59*EXP(-LN(2)/$G$8*L$33/60)+POWER(W59,L$32+1)*EXP(-LN(2)/$G$8*L$32*L$33/60))/POWER(1-W59*EXP(-LN(2)/$G$8*L$33/60),2)</f>
        <v>30.60899119635744</v>
      </c>
      <c r="X60" s="140"/>
    </row>
    <row r="61" spans="1:24" ht="13.8" thickBot="1" x14ac:dyDescent="0.3">
      <c r="A61" s="34"/>
      <c r="B61" s="215"/>
      <c r="C61" s="216"/>
      <c r="D61" s="29"/>
      <c r="E61" s="91" t="s">
        <v>48</v>
      </c>
      <c r="F61" s="27"/>
      <c r="G61" s="92" t="s">
        <v>7</v>
      </c>
      <c r="H61" s="22"/>
      <c r="I61" s="16"/>
      <c r="J61" s="26"/>
      <c r="K61" s="16">
        <f>I61</f>
        <v>0</v>
      </c>
      <c r="L61" s="16">
        <f>+K61</f>
        <v>0</v>
      </c>
      <c r="M61" s="122"/>
      <c r="N61" s="71">
        <f>K61*(1+$V$53*(K61/K$32)/$I$7)/(1+2/$I$7)+L61*(1+$W$53*(L61/L$32)/$I$7)/(1+2/$I$7)</f>
        <v>0</v>
      </c>
      <c r="O61" s="77">
        <f>N61+$N$7</f>
        <v>44.250863335466583</v>
      </c>
      <c r="P61" s="26"/>
      <c r="Q61" s="26"/>
      <c r="R61" s="14">
        <v>60</v>
      </c>
      <c r="S61" s="18">
        <f>+R61-5</f>
        <v>55</v>
      </c>
      <c r="T61" s="149"/>
      <c r="U61" s="133" t="s">
        <v>65</v>
      </c>
      <c r="V61" s="134">
        <f>(2/(LN(2)/$G$9*K$33/60))*(1-((K$32*V62-V64*V62*V62)/(K$32*LN(2)/$G$9*K$33/60)))</f>
        <v>3.9325104348805047</v>
      </c>
      <c r="W61" s="134">
        <f>(2/(LN(2)/$G$9*L$33/60))*(1-((L$32*W62-W64*W62*W62)/(L$32*LN(2)/$G$9*L$33/60)))</f>
        <v>3.9325351907146202</v>
      </c>
      <c r="X61" s="135"/>
    </row>
    <row r="62" spans="1:24" ht="6" customHeight="1" x14ac:dyDescent="0.25">
      <c r="A62" s="34"/>
      <c r="B62" s="69"/>
      <c r="C62" s="69"/>
      <c r="D62" s="22"/>
      <c r="E62" s="22"/>
      <c r="F62" s="22"/>
      <c r="G62" s="22"/>
      <c r="H62" s="22"/>
      <c r="I62" s="5"/>
      <c r="J62" s="22"/>
      <c r="K62" s="5"/>
      <c r="L62" s="5"/>
      <c r="M62" s="22"/>
      <c r="N62" s="33"/>
      <c r="O62" s="33"/>
      <c r="P62" s="33"/>
      <c r="Q62" s="33"/>
      <c r="R62" s="148"/>
      <c r="S62" s="148"/>
      <c r="T62" s="149"/>
      <c r="U62" s="136" t="s">
        <v>26</v>
      </c>
      <c r="V62" s="76">
        <f>1-EXP(-K$33/60*LN(2)/$G$9)</f>
        <v>3.7765056380383855E-2</v>
      </c>
      <c r="W62" s="76">
        <f>1-EXP(-L$33/60*LN(2)/$G$9)</f>
        <v>3.7759502134535494E-2</v>
      </c>
      <c r="X62" s="142" t="s">
        <v>50</v>
      </c>
    </row>
    <row r="63" spans="1:24" x14ac:dyDescent="0.25">
      <c r="A63" s="34"/>
      <c r="B63" s="197" t="s">
        <v>22</v>
      </c>
      <c r="C63" s="198"/>
      <c r="D63" s="22"/>
      <c r="E63" s="93" t="s">
        <v>124</v>
      </c>
      <c r="F63" s="27"/>
      <c r="G63" s="92" t="s">
        <v>7</v>
      </c>
      <c r="H63" s="22"/>
      <c r="I63" s="26"/>
      <c r="J63" s="26"/>
      <c r="K63" s="16">
        <f>I63</f>
        <v>0</v>
      </c>
      <c r="L63" s="16">
        <f>+K63</f>
        <v>0</v>
      </c>
      <c r="M63" s="122"/>
      <c r="N63" s="71">
        <f>K63*(1+$V$57*(K63/K$32)/$I$8)/(1+2/$I$8)+L63*(1+$W$57*(L63/L$32)/$I$8)/(1+2/$I$8)</f>
        <v>0</v>
      </c>
      <c r="O63" s="72">
        <f>N63+$N$8</f>
        <v>43.201992000319976</v>
      </c>
      <c r="P63" s="26"/>
      <c r="Q63" s="26"/>
      <c r="R63" s="148"/>
      <c r="S63" s="148"/>
      <c r="T63" s="149"/>
      <c r="U63" s="136" t="s">
        <v>27</v>
      </c>
      <c r="V63" s="78">
        <f>EXP(-K$34/60*LN(2)/$G$9)</f>
        <v>0.65468473071423616</v>
      </c>
      <c r="W63" s="78">
        <f>EXP(-L$34/60*LN(2)/$G$9)</f>
        <v>0.65468095174218544</v>
      </c>
      <c r="X63" s="137"/>
    </row>
    <row r="64" spans="1:24" ht="16.2" thickBot="1" x14ac:dyDescent="0.3">
      <c r="A64" s="34"/>
      <c r="B64" s="234"/>
      <c r="C64" s="235"/>
      <c r="D64" s="22"/>
      <c r="E64" s="91" t="s">
        <v>16</v>
      </c>
      <c r="F64" s="27"/>
      <c r="G64" s="92" t="s">
        <v>7</v>
      </c>
      <c r="H64" s="22"/>
      <c r="I64" s="26"/>
      <c r="J64" s="26"/>
      <c r="K64" s="16">
        <f>+I64</f>
        <v>0</v>
      </c>
      <c r="L64" s="16">
        <f>+K64</f>
        <v>0</v>
      </c>
      <c r="M64" s="122"/>
      <c r="N64" s="71">
        <f>K64*(1+$V$57*(K64/K$32)/$I$8)/(1+2/$I$8)+L64*(1+$W$57*(L64/L$32)/$I$8)/(1+2/$I$8)</f>
        <v>0</v>
      </c>
      <c r="O64" s="75">
        <f>N64+$N$8</f>
        <v>43.201992000319976</v>
      </c>
      <c r="P64" s="26"/>
      <c r="Q64" s="26"/>
      <c r="R64" s="148"/>
      <c r="S64" s="148"/>
      <c r="T64" s="149"/>
      <c r="U64" s="138" t="s">
        <v>28</v>
      </c>
      <c r="V64" s="139">
        <f>(K$32*V63-V63-K$32*V63*V63*EXP(-LN(2)/$G$9*K$33/60)+POWER(V63,K$32+1)*EXP(-LN(2)/$G$9*K$32*K$33/60))/POWER(1-V63*EXP(-LN(2)/$G$9*K$33/60),2)</f>
        <v>30.607398863016279</v>
      </c>
      <c r="W64" s="139">
        <f>(L$32*W63-W63-L$32*W63*W63*EXP(-LN(2)/$G$9*L$33/60)+POWER(W63,L$32+1)*EXP(-LN(2)/$G$9*L$32*L$33/60))/POWER(1-W63*EXP(-LN(2)/$G$9*L$33/60),2)</f>
        <v>30.60899119635744</v>
      </c>
      <c r="X64" s="140"/>
    </row>
    <row r="65" spans="1:24" ht="16.2" thickBot="1" x14ac:dyDescent="0.3">
      <c r="A65" s="34"/>
      <c r="B65" s="236"/>
      <c r="C65" s="237"/>
      <c r="D65" s="22"/>
      <c r="E65" s="91" t="s">
        <v>17</v>
      </c>
      <c r="F65" s="27"/>
      <c r="G65" s="92" t="s">
        <v>7</v>
      </c>
      <c r="H65" s="22"/>
      <c r="I65" s="16"/>
      <c r="J65" s="26"/>
      <c r="K65" s="16">
        <f>+I65</f>
        <v>0</v>
      </c>
      <c r="L65" s="16">
        <f>+K65</f>
        <v>0</v>
      </c>
      <c r="M65" s="124"/>
      <c r="N65" s="81">
        <f>K65*(1+$V$57*(K65/K$32)/$I$8)/(1+2/$I$8)+L65*(1+$W$57*(L65/L$32)/$I$8)/(1+2/$I$8)</f>
        <v>0</v>
      </c>
      <c r="O65" s="82">
        <f>N65+$N$8</f>
        <v>43.201992000319976</v>
      </c>
      <c r="P65" s="26"/>
      <c r="Q65" s="26"/>
      <c r="R65" s="18">
        <f>+O8</f>
        <v>80</v>
      </c>
      <c r="S65" s="14">
        <v>90</v>
      </c>
      <c r="T65" s="149"/>
      <c r="U65" s="133" t="s">
        <v>65</v>
      </c>
      <c r="V65" s="134">
        <f>(2/(LN(2)/$G$10*K$33/60))*(1-((K$32*V66-V68*V66*V66)/(K$32*LN(2)/$G$10*K$33/60)))</f>
        <v>3.9325104348805047</v>
      </c>
      <c r="W65" s="134">
        <f>(2/(LN(2)/$G$10*L$33/60))*(1-((L$32*W66-W68*W66*W66)/(L$32*LN(2)/$G$10*L$33/60)))</f>
        <v>3.9325351907146202</v>
      </c>
      <c r="X65" s="135"/>
    </row>
    <row r="66" spans="1:24" ht="6" customHeight="1" thickBot="1" x14ac:dyDescent="0.3">
      <c r="A66" s="34"/>
      <c r="B66" s="104"/>
      <c r="C66" s="22"/>
      <c r="D66" s="22"/>
      <c r="E66" s="22"/>
      <c r="F66" s="22"/>
      <c r="G66" s="22"/>
      <c r="H66" s="22"/>
      <c r="I66" s="5"/>
      <c r="J66" s="22"/>
      <c r="K66" s="5"/>
      <c r="L66" s="5"/>
      <c r="M66" s="22"/>
      <c r="N66" s="33"/>
      <c r="O66" s="33"/>
      <c r="P66" s="26"/>
      <c r="Q66" s="33"/>
      <c r="R66" s="148"/>
      <c r="S66" s="148"/>
      <c r="T66" s="149"/>
      <c r="U66" s="136" t="s">
        <v>26</v>
      </c>
      <c r="V66" s="76">
        <f>1-EXP(-K$33/60*LN(2)/$G$10)</f>
        <v>3.7765056380383855E-2</v>
      </c>
      <c r="W66" s="76">
        <f>1-EXP(-L$33/60*LN(2)/$G$10)</f>
        <v>3.7759502134535494E-2</v>
      </c>
      <c r="X66" s="142" t="s">
        <v>51</v>
      </c>
    </row>
    <row r="67" spans="1:24" ht="13.8" thickBot="1" x14ac:dyDescent="0.3">
      <c r="A67" s="34"/>
      <c r="B67" s="197" t="s">
        <v>23</v>
      </c>
      <c r="C67" s="199"/>
      <c r="D67" s="22"/>
      <c r="E67" s="154" t="s">
        <v>123</v>
      </c>
      <c r="F67" s="27"/>
      <c r="G67" s="92" t="s">
        <v>7</v>
      </c>
      <c r="H67" s="28"/>
      <c r="I67" s="16"/>
      <c r="J67" s="26"/>
      <c r="K67" s="16">
        <f>I67</f>
        <v>0</v>
      </c>
      <c r="L67" s="16">
        <f>K67</f>
        <v>0</v>
      </c>
      <c r="M67" s="122"/>
      <c r="N67" s="71">
        <f>K67*(1+$V$61*(K67/K$32)/$I$9)/(1+2/$I$9)+L67*(1+$W$61*(L67/L$32)/$I$9)/(1+2/$I$9)</f>
        <v>0</v>
      </c>
      <c r="O67" s="82">
        <f>N67+$N$9</f>
        <v>43.201992000319976</v>
      </c>
      <c r="P67" s="26"/>
      <c r="Q67" s="26"/>
      <c r="R67" s="14">
        <v>65</v>
      </c>
      <c r="S67" s="14">
        <v>75</v>
      </c>
      <c r="T67" s="149"/>
      <c r="U67" s="136" t="s">
        <v>27</v>
      </c>
      <c r="V67" s="78">
        <f>EXP(-K$34/60*LN(2)/$G$10)</f>
        <v>0.65468473071423616</v>
      </c>
      <c r="W67" s="78">
        <f>EXP(-L$34/60*LN(2)/$G$10)</f>
        <v>0.65468095174218544</v>
      </c>
      <c r="X67" s="137"/>
    </row>
    <row r="68" spans="1:24" ht="16.2" thickBot="1" x14ac:dyDescent="0.3">
      <c r="A68" s="34"/>
      <c r="B68" s="211"/>
      <c r="C68" s="212"/>
      <c r="D68" s="22"/>
      <c r="E68" s="91" t="s">
        <v>16</v>
      </c>
      <c r="F68" s="27"/>
      <c r="G68" s="92" t="s">
        <v>7</v>
      </c>
      <c r="H68" s="22"/>
      <c r="I68" s="26"/>
      <c r="J68" s="26"/>
      <c r="K68" s="16">
        <f>+I68</f>
        <v>0</v>
      </c>
      <c r="L68" s="16">
        <f>K68</f>
        <v>0</v>
      </c>
      <c r="M68" s="122"/>
      <c r="N68" s="71">
        <f>K68*(1+$V$61*(K68/K$32)/$I$9)/(1+2/$I$9)+L68*(1+$W$61*(L68/L$32)/$I$9)/(1+2/$I$9)</f>
        <v>0</v>
      </c>
      <c r="O68" s="75">
        <f>N68+$N$9</f>
        <v>43.201992000319976</v>
      </c>
      <c r="P68" s="26"/>
      <c r="Q68" s="26"/>
      <c r="R68" s="148"/>
      <c r="S68" s="148"/>
      <c r="T68" s="149"/>
      <c r="U68" s="138" t="s">
        <v>28</v>
      </c>
      <c r="V68" s="139">
        <f>(K$32*V67-V67-K$32*V67*V67*EXP(-LN(2)/$G$10*K$33/60)+POWER(V67,K$32+1)*EXP(-LN(2)/$G$10*K$32*K$33/60))/POWER(1-V67*EXP(-LN(2)/$G$10*K$33/60),2)</f>
        <v>30.607398863016279</v>
      </c>
      <c r="W68" s="139">
        <f>(L$32*W67-W67-L$32*W67*W67*EXP(-LN(2)/$G$10*L$33/60)+POWER(W67,L$32+1)*EXP(-LN(2)/$G$10*L$32*L$33/60))/POWER(1-W67*EXP(-LN(2)/$G$10*L$33/60),2)</f>
        <v>30.60899119635744</v>
      </c>
      <c r="X68" s="140"/>
    </row>
    <row r="69" spans="1:24" ht="16.2" thickBot="1" x14ac:dyDescent="0.3">
      <c r="A69" s="34"/>
      <c r="B69" s="213"/>
      <c r="C69" s="214"/>
      <c r="D69" s="32"/>
      <c r="E69" s="91" t="s">
        <v>17</v>
      </c>
      <c r="F69" s="27"/>
      <c r="G69" s="92" t="s">
        <v>7</v>
      </c>
      <c r="H69" s="22"/>
      <c r="I69" s="16"/>
      <c r="J69" s="26"/>
      <c r="K69" s="16">
        <f>+I69</f>
        <v>0</v>
      </c>
      <c r="L69" s="16">
        <f>+K69</f>
        <v>0</v>
      </c>
      <c r="M69" s="124"/>
      <c r="N69" s="81">
        <f>K69*(1+$V$61*(K69/K$32)/$I$9)/(1+2/$I$9)+L69*(1+$W$61*(L69/L$32)/$I$9)/(1+2/$I$9)</f>
        <v>0</v>
      </c>
      <c r="O69" s="82">
        <f>N69+$N$9</f>
        <v>43.201992000319976</v>
      </c>
      <c r="P69" s="26"/>
      <c r="Q69" s="26"/>
      <c r="R69" s="18">
        <f>+O9</f>
        <v>65</v>
      </c>
      <c r="S69" s="14">
        <v>75</v>
      </c>
      <c r="T69" s="149"/>
      <c r="U69" s="133" t="s">
        <v>65</v>
      </c>
      <c r="V69" s="134">
        <f>(2/(LN(2)/$G$11*K$33/60))*(1-((K$32*V70-V72*V70*V70)/(K$32*LN(2)/$G$11*K$33/60)))</f>
        <v>3.9325104348805047</v>
      </c>
      <c r="W69" s="134">
        <f>(2/(LN(2)/$G$11*L$33/60))*(1-((L$32*W70-W72*W70*W70)/(L$32*LN(2)/$G$11*L$33/60)))</f>
        <v>3.9325351907146202</v>
      </c>
      <c r="X69" s="135"/>
    </row>
    <row r="70" spans="1:24" ht="6" customHeight="1" x14ac:dyDescent="0.25">
      <c r="A70" s="34"/>
      <c r="B70" s="69"/>
      <c r="C70" s="69"/>
      <c r="D70" s="22"/>
      <c r="E70" s="22"/>
      <c r="F70" s="22"/>
      <c r="G70" s="23"/>
      <c r="H70" s="22"/>
      <c r="I70" s="26"/>
      <c r="J70" s="22"/>
      <c r="K70" s="5"/>
      <c r="L70" s="5"/>
      <c r="M70" s="22"/>
      <c r="N70" s="22"/>
      <c r="O70" s="22"/>
      <c r="P70" s="26"/>
      <c r="Q70" s="22"/>
      <c r="R70" s="148"/>
      <c r="S70" s="148"/>
      <c r="T70" s="149"/>
      <c r="U70" s="136" t="s">
        <v>26</v>
      </c>
      <c r="V70" s="76">
        <f>1-EXP(-K$33/60*LN(2)/$G$11)</f>
        <v>3.7765056380383855E-2</v>
      </c>
      <c r="W70" s="76">
        <f>1-EXP(-L$33/60*LN(2)/$G$11)</f>
        <v>3.7759502134535494E-2</v>
      </c>
      <c r="X70" s="142" t="s">
        <v>52</v>
      </c>
    </row>
    <row r="71" spans="1:24" ht="16.2" thickBot="1" x14ac:dyDescent="0.3">
      <c r="A71" s="34"/>
      <c r="B71" s="197" t="s">
        <v>96</v>
      </c>
      <c r="C71" s="198"/>
      <c r="D71" s="22"/>
      <c r="E71" s="91" t="s">
        <v>16</v>
      </c>
      <c r="F71" s="27"/>
      <c r="G71" s="92" t="s">
        <v>7</v>
      </c>
      <c r="H71" s="28"/>
      <c r="I71" s="26"/>
      <c r="J71" s="26"/>
      <c r="K71" s="16">
        <f>+I71</f>
        <v>0</v>
      </c>
      <c r="L71" s="16">
        <f>+K71</f>
        <v>0</v>
      </c>
      <c r="M71" s="26"/>
      <c r="N71" s="85">
        <f>K71*(1+$V$65*(K71/K$32)/$I$10)/(1+2/$I$10)+L71*(1+$W$65*(L71/L$32)/$I$10)/(1+2/$I$10)</f>
        <v>0</v>
      </c>
      <c r="O71" s="75">
        <f>N71+$N$10</f>
        <v>43.201992000319976</v>
      </c>
      <c r="P71" s="26"/>
      <c r="Q71" s="23"/>
      <c r="R71" s="148"/>
      <c r="S71" s="148"/>
      <c r="T71" s="149"/>
      <c r="U71" s="136" t="s">
        <v>27</v>
      </c>
      <c r="V71" s="78">
        <f>EXP(-K$34/60*LN(2)/$G$11)</f>
        <v>0.65468473071423616</v>
      </c>
      <c r="W71" s="78">
        <f>EXP(-L$34/60*LN(2)/$G$11)</f>
        <v>0.65468095174218544</v>
      </c>
      <c r="X71" s="137"/>
    </row>
    <row r="72" spans="1:24" ht="16.2" thickBot="1" x14ac:dyDescent="0.3">
      <c r="A72" s="34"/>
      <c r="B72" s="219"/>
      <c r="C72" s="220"/>
      <c r="D72" s="22"/>
      <c r="E72" s="91" t="s">
        <v>17</v>
      </c>
      <c r="F72" s="27"/>
      <c r="G72" s="92" t="s">
        <v>7</v>
      </c>
      <c r="H72" s="28"/>
      <c r="I72" s="16"/>
      <c r="J72" s="26"/>
      <c r="K72" s="16">
        <f>+I72</f>
        <v>0</v>
      </c>
      <c r="L72" s="16">
        <f>+K72</f>
        <v>0</v>
      </c>
      <c r="M72" s="26"/>
      <c r="N72" s="81">
        <f>K72*(1+$V$65*(K72/K$32)/$I$10)/(1+2/$I$10)+L72*(1+$W$65*(L72/L$32)/$I$10)/(1+2/$I$10)</f>
        <v>0</v>
      </c>
      <c r="O72" s="82">
        <f>N72+$N$10</f>
        <v>43.201992000319976</v>
      </c>
      <c r="P72" s="26"/>
      <c r="Q72" s="23"/>
      <c r="R72" s="18">
        <f>+O10</f>
        <v>70</v>
      </c>
      <c r="S72" s="14">
        <v>75</v>
      </c>
      <c r="T72" s="149"/>
      <c r="U72" s="138" t="s">
        <v>28</v>
      </c>
      <c r="V72" s="139">
        <f>(K$32*V71-V71-K$32*V71*V71*EXP(-LN(2)/$G$11*K$33/60)+POWER(V71,K$32+1)*EXP(-LN(2)/$G$11*K$32*K$33/60))/POWER(1-V71*EXP(-LN(2)/$G$11*K$33/60),2)</f>
        <v>30.607398863016279</v>
      </c>
      <c r="W72" s="139">
        <f>(L$32*W71-W71-L$32*W71*W71*EXP(-LN(2)/$G$11*L$33/60)+POWER(W71,L$32+1)*EXP(-LN(2)/$G$11*L$32*L$33/60))/POWER(1-W71*EXP(-LN(2)/$G$11*L$33/60),2)</f>
        <v>30.60899119635744</v>
      </c>
      <c r="X72" s="140"/>
    </row>
    <row r="73" spans="1:24" ht="6" customHeight="1" x14ac:dyDescent="0.25">
      <c r="A73" s="34"/>
      <c r="B73" s="22"/>
      <c r="C73" s="22"/>
      <c r="D73" s="22"/>
      <c r="E73" s="22"/>
      <c r="F73" s="22"/>
      <c r="G73" s="22"/>
      <c r="H73" s="5"/>
      <c r="I73" s="26"/>
      <c r="J73" s="5"/>
      <c r="K73" s="5"/>
      <c r="L73" s="5"/>
      <c r="M73" s="22"/>
      <c r="N73" s="22"/>
      <c r="O73" s="22"/>
      <c r="P73" s="26"/>
      <c r="Q73" s="22"/>
      <c r="R73" s="148"/>
      <c r="S73" s="148"/>
      <c r="T73" s="149"/>
      <c r="U73" s="133" t="s">
        <v>65</v>
      </c>
      <c r="V73" s="134">
        <f>(2/(LN(2)/$G$12*K$33/60))*(1-((K$32*V74-V76*V74*V74)/(K$32*LN(2)/$G$12*K$33/60)))</f>
        <v>3.9325104348805047</v>
      </c>
      <c r="W73" s="134">
        <f>(2/(LN(2)/$G$12*L$33/60))*(1-((L$32*W74-W76*W74*W74)/(L$32*LN(2)/$G$12*L$33/60)))</f>
        <v>3.9325351907146202</v>
      </c>
      <c r="X73" s="135"/>
    </row>
    <row r="74" spans="1:24" ht="16.2" thickBot="1" x14ac:dyDescent="0.3">
      <c r="A74" s="34"/>
      <c r="B74" s="197" t="s">
        <v>71</v>
      </c>
      <c r="C74" s="198"/>
      <c r="D74" s="22"/>
      <c r="E74" s="93" t="s">
        <v>116</v>
      </c>
      <c r="F74" s="27"/>
      <c r="G74" s="92" t="s">
        <v>7</v>
      </c>
      <c r="H74" s="28"/>
      <c r="I74" s="26"/>
      <c r="J74" s="26"/>
      <c r="K74" s="16">
        <f>+I74</f>
        <v>0</v>
      </c>
      <c r="L74" s="16">
        <f>+K74</f>
        <v>0</v>
      </c>
      <c r="M74" s="26"/>
      <c r="N74" s="85">
        <f>K74*(1+$V$69*(K74/K$32)/$I$11)/(1+2/$I$11)+L74*(1+$W$69*(L74/L$32)/$I$11)/(1+2/$I$11)</f>
        <v>0</v>
      </c>
      <c r="O74" s="75">
        <f>N74+$N$11</f>
        <v>43.201992000319976</v>
      </c>
      <c r="P74" s="26"/>
      <c r="Q74" s="23"/>
      <c r="R74" s="148"/>
      <c r="S74" s="148"/>
      <c r="T74" s="149"/>
      <c r="U74" s="136" t="s">
        <v>26</v>
      </c>
      <c r="V74" s="76">
        <f>1-EXP(-K$33/60*LN(2)/$G$12)</f>
        <v>3.7765056380383855E-2</v>
      </c>
      <c r="W74" s="76">
        <f>1-EXP(-L$33/60*LN(2)/$G$12)</f>
        <v>3.7759502134535494E-2</v>
      </c>
      <c r="X74" s="142" t="s">
        <v>70</v>
      </c>
    </row>
    <row r="75" spans="1:24" ht="16.2" thickBot="1" x14ac:dyDescent="0.3">
      <c r="A75" s="34"/>
      <c r="B75" s="221"/>
      <c r="C75" s="222"/>
      <c r="D75" s="22"/>
      <c r="E75" s="91" t="s">
        <v>17</v>
      </c>
      <c r="F75" s="27"/>
      <c r="G75" s="92" t="s">
        <v>7</v>
      </c>
      <c r="H75" s="28"/>
      <c r="I75" s="16"/>
      <c r="J75" s="26"/>
      <c r="K75" s="16">
        <f>+I75</f>
        <v>0</v>
      </c>
      <c r="L75" s="16">
        <f>+K75</f>
        <v>0</v>
      </c>
      <c r="M75" s="26"/>
      <c r="N75" s="81">
        <f>K75*(1+$V$69*(K75/K$32)/$I$11)/(1+2/$I$11)+L75*(1+$W$69*(L75/L$32)/$I$11)/(1+2/$I$11)</f>
        <v>0</v>
      </c>
      <c r="O75" s="82">
        <f>N75+$N$11</f>
        <v>43.201992000319976</v>
      </c>
      <c r="P75" s="26"/>
      <c r="Q75" s="23"/>
      <c r="R75" s="18">
        <f>+O11</f>
        <v>70</v>
      </c>
      <c r="S75" s="14">
        <v>75</v>
      </c>
      <c r="T75" s="149"/>
      <c r="U75" s="136" t="s">
        <v>27</v>
      </c>
      <c r="V75" s="78">
        <f>EXP(-K$34/60*LN(2)/$G$12)</f>
        <v>0.65468473071423616</v>
      </c>
      <c r="W75" s="78">
        <f>EXP(-L$34/60*LN(2)/$G$12)</f>
        <v>0.65468095174218544</v>
      </c>
      <c r="X75" s="137"/>
    </row>
    <row r="76" spans="1:24" ht="6" customHeight="1" thickBot="1" x14ac:dyDescent="0.3">
      <c r="A76" s="34"/>
      <c r="B76" s="69"/>
      <c r="C76" s="22"/>
      <c r="D76" s="22"/>
      <c r="E76" s="22"/>
      <c r="F76" s="22"/>
      <c r="G76" s="23"/>
      <c r="H76" s="22"/>
      <c r="I76" s="39"/>
      <c r="J76" s="25"/>
      <c r="K76" s="39"/>
      <c r="L76" s="39"/>
      <c r="M76" s="25"/>
      <c r="N76" s="83"/>
      <c r="O76" s="83"/>
      <c r="P76" s="26"/>
      <c r="Q76" s="83"/>
      <c r="R76" s="148"/>
      <c r="S76" s="148"/>
      <c r="T76" s="149"/>
      <c r="U76" s="138" t="s">
        <v>28</v>
      </c>
      <c r="V76" s="139">
        <f>(K$32*V75-V75-K$32*V75*V75*EXP(-LN(2)/$G$12*K$33/60)+POWER(V75,K$32+1)*EXP(-LN(2)/$G$12*K$32*K$33/60))/POWER(1-V75*EXP(-LN(2)/$G$12*K$33/60),2)</f>
        <v>30.607398863016279</v>
      </c>
      <c r="W76" s="139">
        <f>(L$32*W75-W75-L$32*W75*W75*EXP(-LN(2)/$G$12*L$33/60)+POWER(W75,L$32+1)*EXP(-LN(2)/$G$12*L$32*L$33/60))/POWER(1-W75*EXP(-LN(2)/$G$12*L$33/60),2)</f>
        <v>30.60899119635744</v>
      </c>
      <c r="X76" s="140"/>
    </row>
    <row r="77" spans="1:24" x14ac:dyDescent="0.25">
      <c r="A77" s="34"/>
      <c r="B77" s="223" t="s">
        <v>56</v>
      </c>
      <c r="C77" s="199"/>
      <c r="D77" s="22"/>
      <c r="E77" s="20" t="s">
        <v>150</v>
      </c>
      <c r="F77" s="27"/>
      <c r="G77" s="92" t="s">
        <v>7</v>
      </c>
      <c r="H77" s="34"/>
      <c r="I77" s="16"/>
      <c r="J77" s="37"/>
      <c r="K77" s="16">
        <f t="shared" ref="K77:K78" si="4">+I77</f>
        <v>0</v>
      </c>
      <c r="L77" s="16">
        <f t="shared" ref="L77:L78" si="5">+K77</f>
        <v>0</v>
      </c>
      <c r="M77" s="73"/>
      <c r="N77" s="71">
        <f>K77*(1+$V$73*(K77/K$32)/$I$12)/(1+2/$I$12)+L77*(1+$W$73*(L77/L$32)/$I$12)/(1+2/$I$12)</f>
        <v>0</v>
      </c>
      <c r="O77" s="72">
        <f t="shared" ref="O77:O78" si="6">N77+$N$12</f>
        <v>43.201992000319976</v>
      </c>
      <c r="P77" s="26"/>
      <c r="Q77" s="73"/>
      <c r="R77" s="148"/>
      <c r="S77" s="148"/>
      <c r="T77" s="149"/>
      <c r="U77" s="133" t="s">
        <v>65</v>
      </c>
      <c r="V77" s="134">
        <f>(2/(LN(2)/$G$14*K$33/60))*(1-((K$32*V78-V81*V78*V78)/(K$32*LN(2)/$G$14*K$33/60)))</f>
        <v>3.9325104348805047</v>
      </c>
      <c r="W77" s="134">
        <f>(2/(LN(2)/$G$14*L$33/60))*(1-((L$32*W78-W81*W78*W78)/(L$32*LN(2)/$G$14*L$33/60)))</f>
        <v>3.9325351907146202</v>
      </c>
      <c r="X77" s="135"/>
    </row>
    <row r="78" spans="1:24" ht="13.8" thickBot="1" x14ac:dyDescent="0.3">
      <c r="A78" s="34"/>
      <c r="B78" s="224"/>
      <c r="C78" s="225"/>
      <c r="D78" s="22"/>
      <c r="E78" s="20" t="s">
        <v>151</v>
      </c>
      <c r="F78" s="27"/>
      <c r="G78" s="96" t="s">
        <v>7</v>
      </c>
      <c r="H78" s="34"/>
      <c r="I78" s="16"/>
      <c r="J78" s="37"/>
      <c r="K78" s="16">
        <f t="shared" si="4"/>
        <v>0</v>
      </c>
      <c r="L78" s="16">
        <f t="shared" si="5"/>
        <v>0</v>
      </c>
      <c r="M78" s="73"/>
      <c r="N78" s="71">
        <f>K78*(1+$V$73*(K78/K$32)/$I$12)/(1+2/$I$12)+L78*(1+$W$73*(L78/L$32)/$I$12)/(1+2/$I$12)</f>
        <v>0</v>
      </c>
      <c r="O78" s="72">
        <f t="shared" si="6"/>
        <v>43.201992000319976</v>
      </c>
      <c r="P78" s="26"/>
      <c r="Q78" s="73"/>
      <c r="R78" s="148"/>
      <c r="S78" s="148"/>
      <c r="T78" s="149"/>
      <c r="U78" s="136" t="s">
        <v>26</v>
      </c>
      <c r="V78" s="76">
        <f>1-EXP(-K$33/60*LN(2)/$G$14)</f>
        <v>3.7765056380383855E-2</v>
      </c>
      <c r="W78" s="76">
        <f>1-EXP(-L$33/60*LN(2)/$G$14)</f>
        <v>3.7759502134535494E-2</v>
      </c>
      <c r="X78" s="142" t="s">
        <v>101</v>
      </c>
    </row>
    <row r="79" spans="1:24" ht="13.8" thickBot="1" x14ac:dyDescent="0.3">
      <c r="A79" s="34"/>
      <c r="B79" s="226"/>
      <c r="C79" s="227"/>
      <c r="D79" s="22"/>
      <c r="E79" s="107" t="s">
        <v>146</v>
      </c>
      <c r="F79" s="27"/>
      <c r="G79" s="96" t="s">
        <v>7</v>
      </c>
      <c r="H79" s="34"/>
      <c r="I79" s="16"/>
      <c r="J79" s="37"/>
      <c r="K79" s="16">
        <f>+I79</f>
        <v>0</v>
      </c>
      <c r="L79" s="16">
        <f>+K79</f>
        <v>0</v>
      </c>
      <c r="M79" s="73"/>
      <c r="N79" s="71">
        <f>K79*(1+$V$73*(K79/K$32)/$I$13)/(1+2/$I$13)+L79*(1+$W$73*(L79/L$32)/$I$13)/(1+2/$I$13)</f>
        <v>0</v>
      </c>
      <c r="O79" s="190" t="str">
        <f>IF(K13=45.001,"N/A",N79+$N$13)</f>
        <v>N/A</v>
      </c>
      <c r="P79" s="26"/>
      <c r="Q79" s="73"/>
      <c r="R79" s="152"/>
      <c r="S79" s="151"/>
      <c r="T79" s="149"/>
      <c r="U79" s="136" t="s">
        <v>27</v>
      </c>
      <c r="V79" s="78">
        <f>EXP(-K$34/60*LN(2)/$G$14)</f>
        <v>0.65468473071423616</v>
      </c>
      <c r="W79" s="78">
        <f>EXP(-L$34/60*LN(2)/$G$14)</f>
        <v>0.65468095174218544</v>
      </c>
      <c r="X79" s="137"/>
    </row>
    <row r="80" spans="1:24" ht="13.8" thickBot="1" x14ac:dyDescent="0.3">
      <c r="A80" s="34"/>
      <c r="B80" s="226"/>
      <c r="C80" s="227"/>
      <c r="D80" s="22"/>
      <c r="E80" s="107" t="s">
        <v>147</v>
      </c>
      <c r="F80" s="27"/>
      <c r="G80" s="96" t="s">
        <v>7</v>
      </c>
      <c r="H80" s="34"/>
      <c r="I80" s="16"/>
      <c r="J80" s="37"/>
      <c r="K80" s="16">
        <f>+I80</f>
        <v>0</v>
      </c>
      <c r="L80" s="16">
        <f t="shared" ref="L80" si="7">+K80</f>
        <v>0</v>
      </c>
      <c r="M80" s="73"/>
      <c r="N80" s="71">
        <f>K80*(1+$V$73*(K80/K$32)/$I$14)/(1+2/$I$14)+L80*(1+$W$73*(L80/L$32)/$I$14)/(1+2/$I$14)</f>
        <v>0</v>
      </c>
      <c r="O80" s="190" t="str">
        <f>IF(K14=40.001,"N/A",N80+$N$14)</f>
        <v>N/A</v>
      </c>
      <c r="P80" s="26"/>
      <c r="Q80" s="73"/>
      <c r="R80" s="148"/>
      <c r="S80" s="148"/>
      <c r="T80" s="149"/>
      <c r="U80" s="136" t="s">
        <v>27</v>
      </c>
      <c r="V80" s="78">
        <f>EXP(-K$34/60*LN(2)/$G$14)</f>
        <v>0.65468473071423616</v>
      </c>
      <c r="W80" s="78">
        <f>EXP(-L$34/60*LN(2)/$G$14)</f>
        <v>0.65468095174218544</v>
      </c>
      <c r="X80" s="137"/>
    </row>
    <row r="81" spans="1:24" ht="13.8" thickBot="1" x14ac:dyDescent="0.3">
      <c r="A81" s="34"/>
      <c r="B81" s="228"/>
      <c r="C81" s="229"/>
      <c r="D81" s="22"/>
      <c r="E81" s="107" t="s">
        <v>148</v>
      </c>
      <c r="F81" s="27"/>
      <c r="G81" s="96" t="s">
        <v>7</v>
      </c>
      <c r="H81" s="34"/>
      <c r="I81" s="16"/>
      <c r="J81" s="37"/>
      <c r="K81" s="16">
        <f>+I81</f>
        <v>0</v>
      </c>
      <c r="L81" s="16">
        <f>+K81</f>
        <v>0</v>
      </c>
      <c r="M81" s="73"/>
      <c r="N81" s="71">
        <f>K81*(1+$V$73*(K81/K$32)/$I$14)/(1+2/$I$14)+L81*(1+$W$73*(L81/L$32)/$I$14)/(1+2/$I$14)</f>
        <v>0</v>
      </c>
      <c r="O81" s="190" t="str">
        <f>IF(K15=30.001,"N/A",N81+$N$15)</f>
        <v>N/A</v>
      </c>
      <c r="P81" s="26"/>
      <c r="Q81" s="73"/>
      <c r="R81" s="148"/>
      <c r="S81" s="148"/>
      <c r="T81" s="149"/>
      <c r="U81" s="138" t="s">
        <v>28</v>
      </c>
      <c r="V81" s="139">
        <f>(K$32*V80-V80-K$32*V80*V80*EXP(-LN(2)/$G$14*K$33/60)+POWER(V80,K$32+1)*EXP(-LN(2)/$G$14*K$32*K$33/60))/POWER(1-V80*EXP(-LN(2)/$G$14*K$33/60),2)</f>
        <v>30.607398863016279</v>
      </c>
      <c r="W81" s="139">
        <f>(L$32*W80-W80-L$32*W80*W80*EXP(-LN(2)/$G$14*L$33/60)+POWER(W80,L$32+1)*EXP(-LN(2)/$G$14*L$32*L$33/60))/POWER(1-W80*EXP(-LN(2)/$G$14*L$33/60),2)</f>
        <v>30.60899119635744</v>
      </c>
      <c r="X81" s="140"/>
    </row>
    <row r="82" spans="1:24" ht="6.75" customHeight="1" x14ac:dyDescent="0.25">
      <c r="A82" s="34"/>
      <c r="B82" s="22"/>
      <c r="C82" s="22"/>
      <c r="D82" s="22"/>
      <c r="E82" s="22"/>
      <c r="F82" s="22"/>
      <c r="G82" s="22"/>
      <c r="H82" s="5"/>
      <c r="I82" s="5"/>
      <c r="J82" s="5"/>
      <c r="K82" s="5"/>
      <c r="L82" s="5"/>
      <c r="M82" s="24"/>
      <c r="N82" s="22"/>
      <c r="O82" s="22"/>
      <c r="P82" s="33"/>
      <c r="Q82" s="33"/>
      <c r="R82" s="149"/>
      <c r="S82" s="149"/>
      <c r="T82" s="149"/>
      <c r="U82" s="133" t="s">
        <v>65</v>
      </c>
      <c r="V82" s="134">
        <f>(2/(LN(2)/$G$13*K$33/60))*(1-((K$32*V83-V85*V83*V83)/(K$32*LN(2)/$G$13*K$33/60)))</f>
        <v>3.9325104348805047</v>
      </c>
      <c r="W82" s="134">
        <f>(2/(LN(2)/$G$13*L$33/60))*(1-((L$32*W83-W85*W83*W83)/(L$32*LN(2)/$G$13*L$33/60)))</f>
        <v>3.9325351907146202</v>
      </c>
      <c r="X82" s="135"/>
    </row>
    <row r="83" spans="1:24" x14ac:dyDescent="0.25">
      <c r="A83" s="34"/>
      <c r="B83" s="197" t="s">
        <v>72</v>
      </c>
      <c r="C83" s="198"/>
      <c r="D83" s="37"/>
      <c r="E83" s="91" t="s">
        <v>87</v>
      </c>
      <c r="F83" s="27"/>
      <c r="G83" s="92" t="s">
        <v>7</v>
      </c>
      <c r="H83" s="28"/>
      <c r="I83" s="5"/>
      <c r="J83" s="26"/>
      <c r="K83" s="16"/>
      <c r="L83" s="16"/>
      <c r="M83" s="24"/>
      <c r="N83" s="22"/>
      <c r="O83" s="22"/>
      <c r="P83" s="54"/>
      <c r="Q83" s="54"/>
      <c r="R83" s="149"/>
      <c r="S83" s="149"/>
      <c r="T83" s="149"/>
      <c r="U83" s="136" t="s">
        <v>26</v>
      </c>
      <c r="V83" s="76">
        <f>1-EXP(-K$33/60*LN(2)/$G$13)</f>
        <v>3.7765056380383855E-2</v>
      </c>
      <c r="W83" s="76">
        <f>1-EXP(-L$33/60*LN(2)/$G$13)</f>
        <v>3.7759502134535494E-2</v>
      </c>
      <c r="X83" s="142" t="s">
        <v>102</v>
      </c>
    </row>
    <row r="84" spans="1:24" x14ac:dyDescent="0.25">
      <c r="A84" s="34"/>
      <c r="B84" s="217"/>
      <c r="C84" s="218"/>
      <c r="D84" s="37"/>
      <c r="E84" s="91" t="s">
        <v>88</v>
      </c>
      <c r="F84" s="27"/>
      <c r="G84" s="92" t="s">
        <v>7</v>
      </c>
      <c r="H84" s="22"/>
      <c r="I84" s="26"/>
      <c r="J84" s="26"/>
      <c r="K84" s="16"/>
      <c r="L84" s="16"/>
      <c r="M84" s="24"/>
      <c r="N84" s="22"/>
      <c r="O84" s="22"/>
      <c r="P84" s="54"/>
      <c r="Q84" s="54"/>
      <c r="R84" s="149"/>
      <c r="S84" s="149"/>
      <c r="T84" s="149"/>
      <c r="U84" s="136" t="s">
        <v>27</v>
      </c>
      <c r="V84" s="78">
        <f>EXP(-K$34/60*LN(2)/$G$13)</f>
        <v>0.65468473071423616</v>
      </c>
      <c r="W84" s="78">
        <f>EXP(-L$34/60*LN(2)/$G$13)</f>
        <v>0.65468095174218544</v>
      </c>
      <c r="X84" s="137"/>
    </row>
    <row r="85" spans="1:24" ht="4.5" customHeight="1" thickBot="1" x14ac:dyDescent="0.3">
      <c r="A85" s="34"/>
      <c r="B85" s="69"/>
      <c r="C85" s="69"/>
      <c r="D85" s="22"/>
      <c r="E85" s="22"/>
      <c r="F85" s="22"/>
      <c r="G85" s="23"/>
      <c r="H85" s="22"/>
      <c r="I85" s="26"/>
      <c r="J85" s="22"/>
      <c r="K85" s="5"/>
      <c r="L85" s="5"/>
      <c r="M85" s="22"/>
      <c r="N85" s="22"/>
      <c r="O85" s="22"/>
      <c r="P85" s="22"/>
      <c r="Q85" s="22"/>
      <c r="R85" s="149"/>
      <c r="S85" s="149"/>
      <c r="T85" s="149"/>
      <c r="U85" s="138" t="s">
        <v>28</v>
      </c>
      <c r="V85" s="139">
        <f>(K$32*V84-V84-K$32*V84*V84*EXP(-LN(2)/$G$13*K$33/60)+POWER(V84,K$32+1)*EXP(-LN(2)/$G$13*K$32*K$33/60))/POWER(1-V84*EXP(-LN(2)/$G$13*K$33/60),2)</f>
        <v>30.607398863016279</v>
      </c>
      <c r="W85" s="139">
        <f>(L$32*W84-W84-L$32*W84*W84*EXP(-LN(2)/$G$13*L$33/60)+POWER(W84,L$32+1)*EXP(-LN(2)/$G$13*L$32*L$33/60))/POWER(1-W84*EXP(-LN(2)/$G$13*L$33/60),2)</f>
        <v>30.60899119635744</v>
      </c>
      <c r="X85" s="140"/>
    </row>
    <row r="86" spans="1:24" x14ac:dyDescent="0.25">
      <c r="A86" s="34"/>
      <c r="B86" s="197" t="s">
        <v>86</v>
      </c>
      <c r="C86" s="198"/>
      <c r="D86" s="37"/>
      <c r="E86" s="91" t="s">
        <v>73</v>
      </c>
      <c r="F86" s="27"/>
      <c r="G86" s="92" t="s">
        <v>74</v>
      </c>
      <c r="H86" s="28"/>
      <c r="I86" s="26"/>
      <c r="J86" s="26"/>
      <c r="K86" s="16"/>
      <c r="L86" s="16"/>
      <c r="M86" s="24"/>
      <c r="N86" s="22"/>
      <c r="O86" s="22"/>
      <c r="P86" s="54"/>
      <c r="Q86" s="54"/>
      <c r="R86" s="149"/>
      <c r="S86" s="149"/>
      <c r="T86" s="149"/>
    </row>
    <row r="87" spans="1:24" ht="4.5" customHeight="1" x14ac:dyDescent="0.25">
      <c r="A87" s="34"/>
      <c r="B87" s="22"/>
      <c r="C87" s="22"/>
      <c r="D87" s="22"/>
      <c r="E87" s="22"/>
      <c r="F87" s="22"/>
      <c r="G87" s="23"/>
      <c r="H87" s="22"/>
      <c r="I87" s="5"/>
      <c r="J87" s="22"/>
      <c r="K87" s="5"/>
      <c r="L87" s="5"/>
      <c r="M87" s="22"/>
      <c r="N87" s="22"/>
      <c r="O87" s="22"/>
      <c r="P87" s="22"/>
      <c r="Q87" s="22"/>
      <c r="R87" s="149"/>
      <c r="S87" s="149"/>
      <c r="T87" s="149"/>
    </row>
    <row r="88" spans="1:24" x14ac:dyDescent="0.25">
      <c r="A88" s="174"/>
      <c r="B88" s="174"/>
      <c r="C88" s="174"/>
      <c r="D88" s="174"/>
      <c r="P88" s="174"/>
      <c r="Q88" s="150"/>
      <c r="R88" s="149"/>
      <c r="S88" s="149"/>
      <c r="T88" s="149"/>
    </row>
    <row r="89" spans="1:24" hidden="1" x14ac:dyDescent="0.25">
      <c r="A89" s="169"/>
      <c r="B89" s="169"/>
      <c r="C89" s="169"/>
      <c r="D89" s="169"/>
      <c r="E89" s="169"/>
      <c r="F89" s="169"/>
      <c r="G89" s="169"/>
      <c r="H89" s="169"/>
      <c r="I89" s="169"/>
      <c r="J89" s="169"/>
      <c r="K89" s="169"/>
      <c r="L89" s="169"/>
      <c r="M89" s="169"/>
      <c r="N89" s="169"/>
      <c r="O89" s="169"/>
      <c r="P89" s="169"/>
      <c r="Q89" s="169"/>
      <c r="R89" s="149"/>
      <c r="S89" s="149"/>
      <c r="T89" s="149"/>
    </row>
    <row r="90" spans="1:24" hidden="1" x14ac:dyDescent="0.25">
      <c r="A90" s="169"/>
      <c r="B90" s="169"/>
      <c r="C90" s="169"/>
      <c r="D90" s="169"/>
      <c r="E90" s="169"/>
      <c r="F90" s="169"/>
      <c r="G90" s="169"/>
      <c r="H90" s="169"/>
      <c r="I90" s="169"/>
      <c r="J90" s="169"/>
      <c r="K90" s="169"/>
      <c r="L90" s="169"/>
      <c r="M90" s="169"/>
      <c r="N90" s="169"/>
      <c r="O90" s="169"/>
      <c r="P90" s="169"/>
      <c r="Q90" s="169"/>
      <c r="R90" s="149"/>
      <c r="S90" s="149"/>
      <c r="T90" s="149"/>
    </row>
    <row r="91" spans="1:24" hidden="1" x14ac:dyDescent="0.25">
      <c r="A91" s="169"/>
      <c r="B91" s="169"/>
      <c r="C91" s="169"/>
      <c r="D91" s="169"/>
      <c r="E91" s="169"/>
      <c r="F91" s="169"/>
      <c r="G91" s="169"/>
      <c r="H91" s="169"/>
      <c r="I91" s="169"/>
      <c r="J91" s="169"/>
      <c r="K91" s="169"/>
      <c r="L91" s="169"/>
      <c r="M91" s="169"/>
      <c r="N91" s="169"/>
      <c r="O91" s="169"/>
      <c r="P91" s="169"/>
      <c r="Q91" s="169"/>
      <c r="R91" s="149"/>
      <c r="S91" s="149"/>
      <c r="T91" s="149"/>
    </row>
    <row r="92" spans="1:24" hidden="1" x14ac:dyDescent="0.25"/>
    <row r="93" spans="1:24" hidden="1" x14ac:dyDescent="0.25"/>
    <row r="94" spans="1:24" hidden="1" x14ac:dyDescent="0.25"/>
    <row r="95" spans="1:24" hidden="1" x14ac:dyDescent="0.25"/>
    <row r="96" spans="1:24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</sheetData>
  <sheetProtection sheet="1" scenarios="1"/>
  <mergeCells count="30">
    <mergeCell ref="B56:C58"/>
    <mergeCell ref="B60:C60"/>
    <mergeCell ref="B63:C63"/>
    <mergeCell ref="B64:C65"/>
    <mergeCell ref="B67:C67"/>
    <mergeCell ref="B68:C69"/>
    <mergeCell ref="B61:C61"/>
    <mergeCell ref="B84:C84"/>
    <mergeCell ref="B83:C83"/>
    <mergeCell ref="B86:C86"/>
    <mergeCell ref="B71:C71"/>
    <mergeCell ref="B72:C72"/>
    <mergeCell ref="B74:C74"/>
    <mergeCell ref="B75:C75"/>
    <mergeCell ref="B77:C77"/>
    <mergeCell ref="B78:C81"/>
    <mergeCell ref="I4:L4"/>
    <mergeCell ref="B55:C55"/>
    <mergeCell ref="B17:C17"/>
    <mergeCell ref="B23:C23"/>
    <mergeCell ref="B52:C52"/>
    <mergeCell ref="B10:C15"/>
    <mergeCell ref="B53:C53"/>
    <mergeCell ref="B4:C4"/>
    <mergeCell ref="B48:C48"/>
    <mergeCell ref="B49:C50"/>
    <mergeCell ref="B32:C32"/>
    <mergeCell ref="B33:C44"/>
    <mergeCell ref="B18:C21"/>
    <mergeCell ref="B24:C30"/>
  </mergeCells>
  <phoneticPr fontId="0" type="noConversion"/>
  <conditionalFormatting sqref="K49:K50 K69 K56:K58 K61 K81 K77:K79">
    <cfRule type="cellIs" dxfId="124" priority="149" stopIfTrue="1" operator="equal">
      <formula>I49</formula>
    </cfRule>
  </conditionalFormatting>
  <conditionalFormatting sqref="L49:L50 L63:L65 L67:L69 L71:L72 L74:L75 L56:L58 L61 L81 L77:L79">
    <cfRule type="cellIs" dxfId="123" priority="154" stopIfTrue="1" operator="equal">
      <formula>K49</formula>
    </cfRule>
  </conditionalFormatting>
  <conditionalFormatting sqref="I48">
    <cfRule type="cellIs" dxfId="122" priority="155" stopIfTrue="1" operator="equal">
      <formula>+(80-K7)/2+0.001</formula>
    </cfRule>
  </conditionalFormatting>
  <conditionalFormatting sqref="O65">
    <cfRule type="cellIs" dxfId="121" priority="128" stopIfTrue="1" operator="lessThan">
      <formula>R65</formula>
    </cfRule>
    <cfRule type="cellIs" dxfId="120" priority="129" stopIfTrue="1" operator="greaterThan">
      <formula>S65</formula>
    </cfRule>
    <cfRule type="cellIs" dxfId="119" priority="130" stopIfTrue="1" operator="between">
      <formula>R65</formula>
      <formula>S65</formula>
    </cfRule>
  </conditionalFormatting>
  <conditionalFormatting sqref="K7">
    <cfRule type="cellIs" dxfId="118" priority="140" stopIfTrue="1" operator="equal">
      <formula>45.001</formula>
    </cfRule>
  </conditionalFormatting>
  <conditionalFormatting sqref="L7:L14">
    <cfRule type="cellIs" dxfId="117" priority="141" stopIfTrue="1" operator="equal">
      <formula>25.001</formula>
    </cfRule>
  </conditionalFormatting>
  <conditionalFormatting sqref="K32">
    <cfRule type="cellIs" dxfId="116" priority="142" stopIfTrue="1" operator="equal">
      <formula>$I$32+0.001</formula>
    </cfRule>
  </conditionalFormatting>
  <conditionalFormatting sqref="I32">
    <cfRule type="cellIs" dxfId="115" priority="143" stopIfTrue="1" operator="equal">
      <formula>20.001</formula>
    </cfRule>
  </conditionalFormatting>
  <conditionalFormatting sqref="K48">
    <cfRule type="cellIs" dxfId="114" priority="148" stopIfTrue="1" operator="equal">
      <formula>$I$48+0.001</formula>
    </cfRule>
  </conditionalFormatting>
  <conditionalFormatting sqref="L32">
    <cfRule type="cellIs" dxfId="113" priority="150" stopIfTrue="1" operator="equal">
      <formula>$K$32+0.001</formula>
    </cfRule>
  </conditionalFormatting>
  <conditionalFormatting sqref="L48">
    <cfRule type="cellIs" dxfId="112" priority="153" stopIfTrue="1" operator="equal">
      <formula>$K$48+0.001</formula>
    </cfRule>
  </conditionalFormatting>
  <conditionalFormatting sqref="C9">
    <cfRule type="cellIs" dxfId="111" priority="156" stopIfTrue="1" operator="greaterThan">
      <formula>50</formula>
    </cfRule>
  </conditionalFormatting>
  <conditionalFormatting sqref="K13">
    <cfRule type="cellIs" dxfId="110" priority="192" stopIfTrue="1" operator="equal">
      <formula>45.001</formula>
    </cfRule>
  </conditionalFormatting>
  <conditionalFormatting sqref="K8:K12">
    <cfRule type="cellIs" dxfId="109" priority="193" stopIfTrue="1" operator="equal">
      <formula>45.002</formula>
    </cfRule>
    <cfRule type="cellIs" dxfId="108" priority="194" stopIfTrue="1" operator="notEqual">
      <formula>$K$7+0.001</formula>
    </cfRule>
  </conditionalFormatting>
  <conditionalFormatting sqref="K35">
    <cfRule type="cellIs" dxfId="107" priority="198" stopIfTrue="1" operator="equal">
      <formula>$I$35+0.0001</formula>
    </cfRule>
  </conditionalFormatting>
  <conditionalFormatting sqref="L35">
    <cfRule type="cellIs" dxfId="106" priority="199" stopIfTrue="1" operator="equal">
      <formula>$K$35+0.0001</formula>
    </cfRule>
  </conditionalFormatting>
  <conditionalFormatting sqref="I35">
    <cfRule type="cellIs" priority="54" operator="equal">
      <formula>1.0001</formula>
    </cfRule>
    <cfRule type="cellIs" dxfId="105" priority="200" stopIfTrue="1" operator="equal">
      <formula>1.0001</formula>
    </cfRule>
  </conditionalFormatting>
  <conditionalFormatting sqref="K53">
    <cfRule type="cellIs" dxfId="104" priority="122" stopIfTrue="1" operator="equal">
      <formula>I53</formula>
    </cfRule>
  </conditionalFormatting>
  <conditionalFormatting sqref="L53">
    <cfRule type="cellIs" dxfId="103" priority="123" stopIfTrue="1" operator="equal">
      <formula>K53</formula>
    </cfRule>
  </conditionalFormatting>
  <conditionalFormatting sqref="O53">
    <cfRule type="cellIs" dxfId="102" priority="119" stopIfTrue="1" operator="lessThan">
      <formula>S53</formula>
    </cfRule>
    <cfRule type="cellIs" dxfId="101" priority="120" stopIfTrue="1" operator="greaterThanOrEqual">
      <formula>R53</formula>
    </cfRule>
    <cfRule type="cellIs" dxfId="100" priority="121" stopIfTrue="1" operator="between">
      <formula>S53</formula>
      <formula>R53</formula>
    </cfRule>
  </conditionalFormatting>
  <conditionalFormatting sqref="O57">
    <cfRule type="cellIs" dxfId="99" priority="112" stopIfTrue="1" operator="greaterThan">
      <formula>S58</formula>
    </cfRule>
    <cfRule type="cellIs" dxfId="98" priority="113" stopIfTrue="1" operator="lessThan">
      <formula>S57</formula>
    </cfRule>
    <cfRule type="cellIs" dxfId="97" priority="114" stopIfTrue="1" operator="greaterThanOrEqual">
      <formula>R57</formula>
    </cfRule>
    <cfRule type="cellIs" dxfId="96" priority="115" stopIfTrue="1" operator="between">
      <formula>S57</formula>
      <formula>R57</formula>
    </cfRule>
  </conditionalFormatting>
  <conditionalFormatting sqref="O61">
    <cfRule type="cellIs" dxfId="95" priority="109" stopIfTrue="1" operator="lessThan">
      <formula>S61</formula>
    </cfRule>
    <cfRule type="cellIs" dxfId="94" priority="110" stopIfTrue="1" operator="greaterThanOrEqual">
      <formula>R61</formula>
    </cfRule>
    <cfRule type="cellIs" dxfId="93" priority="111" stopIfTrue="1" operator="between">
      <formula>S61</formula>
      <formula>R61</formula>
    </cfRule>
  </conditionalFormatting>
  <conditionalFormatting sqref="O69">
    <cfRule type="cellIs" dxfId="92" priority="106" stopIfTrue="1" operator="lessThan">
      <formula>R69</formula>
    </cfRule>
    <cfRule type="cellIs" dxfId="91" priority="107" stopIfTrue="1" operator="greaterThan">
      <formula>S69</formula>
    </cfRule>
    <cfRule type="cellIs" dxfId="90" priority="108" stopIfTrue="1" operator="between">
      <formula>R69</formula>
      <formula>S69</formula>
    </cfRule>
  </conditionalFormatting>
  <conditionalFormatting sqref="O72">
    <cfRule type="cellIs" dxfId="89" priority="103" stopIfTrue="1" operator="lessThan">
      <formula>R72</formula>
    </cfRule>
    <cfRule type="cellIs" dxfId="88" priority="104" stopIfTrue="1" operator="greaterThan">
      <formula>S72</formula>
    </cfRule>
    <cfRule type="cellIs" dxfId="87" priority="105" stopIfTrue="1" operator="between">
      <formula>R72</formula>
      <formula>S72</formula>
    </cfRule>
  </conditionalFormatting>
  <conditionalFormatting sqref="O75">
    <cfRule type="cellIs" dxfId="86" priority="100" stopIfTrue="1" operator="lessThan">
      <formula>R75</formula>
    </cfRule>
    <cfRule type="cellIs" dxfId="85" priority="101" stopIfTrue="1" operator="greaterThan">
      <formula>S75</formula>
    </cfRule>
    <cfRule type="cellIs" dxfId="84" priority="102" stopIfTrue="1" operator="between">
      <formula>R75</formula>
      <formula>S75</formula>
    </cfRule>
  </conditionalFormatting>
  <conditionalFormatting sqref="O67">
    <cfRule type="cellIs" dxfId="83" priority="91" stopIfTrue="1" operator="lessThan">
      <formula>R67</formula>
    </cfRule>
    <cfRule type="cellIs" dxfId="82" priority="92" stopIfTrue="1" operator="greaterThan">
      <formula>S67</formula>
    </cfRule>
    <cfRule type="cellIs" dxfId="81" priority="93" stopIfTrue="1" operator="between">
      <formula>R67</formula>
      <formula>S67</formula>
    </cfRule>
  </conditionalFormatting>
  <conditionalFormatting sqref="O56">
    <cfRule type="cellIs" dxfId="80" priority="88" stopIfTrue="1" operator="lessThan">
      <formula>S56</formula>
    </cfRule>
    <cfRule type="cellIs" dxfId="79" priority="89" stopIfTrue="1" operator="greaterThanOrEqual">
      <formula>R56</formula>
    </cfRule>
    <cfRule type="cellIs" dxfId="78" priority="90" stopIfTrue="1" operator="between">
      <formula>S56</formula>
      <formula>R56</formula>
    </cfRule>
  </conditionalFormatting>
  <conditionalFormatting sqref="O49:O50">
    <cfRule type="cellIs" dxfId="77" priority="85" stopIfTrue="1" operator="lessThan">
      <formula>S49</formula>
    </cfRule>
    <cfRule type="cellIs" dxfId="76" priority="86" stopIfTrue="1" operator="greaterThanOrEqual">
      <formula>R49</formula>
    </cfRule>
    <cfRule type="cellIs" dxfId="75" priority="87" stopIfTrue="1" operator="between">
      <formula>S49</formula>
      <formula>R49</formula>
    </cfRule>
  </conditionalFormatting>
  <conditionalFormatting sqref="K67">
    <cfRule type="cellIs" dxfId="74" priority="83" stopIfTrue="1" operator="equal">
      <formula>I67</formula>
    </cfRule>
  </conditionalFormatting>
  <conditionalFormatting sqref="K80">
    <cfRule type="cellIs" dxfId="73" priority="81" stopIfTrue="1" operator="equal">
      <formula>I80</formula>
    </cfRule>
  </conditionalFormatting>
  <conditionalFormatting sqref="L80">
    <cfRule type="cellIs" dxfId="72" priority="82" stopIfTrue="1" operator="equal">
      <formula>K80</formula>
    </cfRule>
  </conditionalFormatting>
  <conditionalFormatting sqref="L15">
    <cfRule type="cellIs" dxfId="71" priority="79" stopIfTrue="1" operator="equal">
      <formula>25.001</formula>
    </cfRule>
  </conditionalFormatting>
  <conditionalFormatting sqref="K15">
    <cfRule type="cellIs" dxfId="70" priority="80" stopIfTrue="1" operator="equal">
      <formula>30.001</formula>
    </cfRule>
  </conditionalFormatting>
  <conditionalFormatting sqref="I38">
    <cfRule type="cellIs" dxfId="69" priority="74" stopIfTrue="1" operator="equal">
      <formula>3000.001</formula>
    </cfRule>
  </conditionalFormatting>
  <conditionalFormatting sqref="I37">
    <cfRule type="cellIs" dxfId="68" priority="71" stopIfTrue="1" operator="equal">
      <formula>6000.001</formula>
    </cfRule>
  </conditionalFormatting>
  <conditionalFormatting sqref="I39">
    <cfRule type="cellIs" dxfId="67" priority="64" stopIfTrue="1" operator="equal">
      <formula>3000.001</formula>
    </cfRule>
  </conditionalFormatting>
  <conditionalFormatting sqref="K39">
    <cfRule type="expression" dxfId="66" priority="62">
      <formula>K39=I39+0.0001</formula>
    </cfRule>
  </conditionalFormatting>
  <conditionalFormatting sqref="I40">
    <cfRule type="cellIs" dxfId="65" priority="61" operator="lessThan">
      <formula>-0.003</formula>
    </cfRule>
  </conditionalFormatting>
  <conditionalFormatting sqref="L55">
    <cfRule type="cellIs" dxfId="64" priority="39" stopIfTrue="1" operator="equal">
      <formula>K55</formula>
    </cfRule>
  </conditionalFormatting>
  <conditionalFormatting sqref="L52">
    <cfRule type="cellIs" dxfId="63" priority="38" stopIfTrue="1" operator="equal">
      <formula>K52</formula>
    </cfRule>
  </conditionalFormatting>
  <conditionalFormatting sqref="L60">
    <cfRule type="cellIs" dxfId="62" priority="37" stopIfTrue="1" operator="equal">
      <formula>K60</formula>
    </cfRule>
  </conditionalFormatting>
  <conditionalFormatting sqref="K52">
    <cfRule type="cellIs" dxfId="61" priority="36" stopIfTrue="1" operator="equal">
      <formula>I52</formula>
    </cfRule>
  </conditionalFormatting>
  <conditionalFormatting sqref="K55">
    <cfRule type="cellIs" dxfId="60" priority="35" stopIfTrue="1" operator="equal">
      <formula>I55</formula>
    </cfRule>
  </conditionalFormatting>
  <conditionalFormatting sqref="K60">
    <cfRule type="cellIs" dxfId="59" priority="34" stopIfTrue="1" operator="equal">
      <formula>I60</formula>
    </cfRule>
  </conditionalFormatting>
  <conditionalFormatting sqref="K68">
    <cfRule type="cellIs" dxfId="58" priority="33" stopIfTrue="1" operator="equal">
      <formula>I68</formula>
    </cfRule>
  </conditionalFormatting>
  <conditionalFormatting sqref="K65">
    <cfRule type="cellIs" dxfId="57" priority="32" stopIfTrue="1" operator="equal">
      <formula>I65</formula>
    </cfRule>
  </conditionalFormatting>
  <conditionalFormatting sqref="K63">
    <cfRule type="cellIs" dxfId="56" priority="31" stopIfTrue="1" operator="equal">
      <formula>I63</formula>
    </cfRule>
  </conditionalFormatting>
  <conditionalFormatting sqref="K64">
    <cfRule type="cellIs" dxfId="55" priority="30" stopIfTrue="1" operator="equal">
      <formula>I64</formula>
    </cfRule>
  </conditionalFormatting>
  <conditionalFormatting sqref="K72">
    <cfRule type="cellIs" dxfId="54" priority="29" stopIfTrue="1" operator="equal">
      <formula>I72</formula>
    </cfRule>
  </conditionalFormatting>
  <conditionalFormatting sqref="K71">
    <cfRule type="cellIs" dxfId="53" priority="28" stopIfTrue="1" operator="equal">
      <formula>I71</formula>
    </cfRule>
  </conditionalFormatting>
  <conditionalFormatting sqref="K75">
    <cfRule type="cellIs" dxfId="52" priority="27" stopIfTrue="1" operator="equal">
      <formula>I75</formula>
    </cfRule>
  </conditionalFormatting>
  <conditionalFormatting sqref="K74">
    <cfRule type="cellIs" dxfId="51" priority="26" stopIfTrue="1" operator="equal">
      <formula>I74</formula>
    </cfRule>
  </conditionalFormatting>
  <conditionalFormatting sqref="K14">
    <cfRule type="cellIs" dxfId="50" priority="22" stopIfTrue="1" operator="equal">
      <formula>40.001</formula>
    </cfRule>
  </conditionalFormatting>
  <conditionalFormatting sqref="P57">
    <cfRule type="cellIs" dxfId="49" priority="14" stopIfTrue="1" operator="equal">
      <formula>"N/A"</formula>
    </cfRule>
    <cfRule type="cellIs" dxfId="48" priority="15" stopIfTrue="1" operator="lessThan">
      <formula>$S$55-0.05</formula>
    </cfRule>
    <cfRule type="cellIs" dxfId="47" priority="16" stopIfTrue="1" operator="greaterThanOrEqual">
      <formula>$S$55</formula>
    </cfRule>
    <cfRule type="cellIs" dxfId="46" priority="17" operator="between">
      <formula>$S$55-0.05</formula>
      <formula>$S$55</formula>
    </cfRule>
  </conditionalFormatting>
  <conditionalFormatting sqref="K38">
    <cfRule type="expression" dxfId="45" priority="13">
      <formula>K38=I38+0.0001</formula>
    </cfRule>
  </conditionalFormatting>
  <conditionalFormatting sqref="K37">
    <cfRule type="expression" dxfId="44" priority="12">
      <formula>K37=I37+0.0001</formula>
    </cfRule>
  </conditionalFormatting>
  <conditionalFormatting sqref="L39">
    <cfRule type="expression" dxfId="43" priority="11">
      <formula>L39=K39+0.0001</formula>
    </cfRule>
  </conditionalFormatting>
  <conditionalFormatting sqref="L38">
    <cfRule type="expression" dxfId="42" priority="10">
      <formula>L38=K38+0.0001</formula>
    </cfRule>
  </conditionalFormatting>
  <conditionalFormatting sqref="L37">
    <cfRule type="expression" dxfId="41" priority="9">
      <formula>L37=K37+0.0001</formula>
    </cfRule>
  </conditionalFormatting>
  <conditionalFormatting sqref="K40">
    <cfRule type="cellIs" dxfId="40" priority="8" operator="lessThan">
      <formula>-0.003</formula>
    </cfRule>
  </conditionalFormatting>
  <conditionalFormatting sqref="L40">
    <cfRule type="cellIs" dxfId="39" priority="7" operator="lessThan">
      <formula>-0.003</formula>
    </cfRule>
  </conditionalFormatting>
  <conditionalFormatting sqref="O79">
    <cfRule type="cellIs" dxfId="38" priority="3" stopIfTrue="1" operator="equal">
      <formula>"N/A"</formula>
    </cfRule>
  </conditionalFormatting>
  <conditionalFormatting sqref="O80">
    <cfRule type="cellIs" dxfId="37" priority="2" stopIfTrue="1" operator="equal">
      <formula>"N/A"</formula>
    </cfRule>
  </conditionalFormatting>
  <conditionalFormatting sqref="O81">
    <cfRule type="cellIs" dxfId="36" priority="1" stopIfTrue="1" operator="equal">
      <formula>"N/A"</formula>
    </cfRule>
  </conditionalFormatting>
  <printOptions horizontalCentered="1" verticalCentered="1"/>
  <pageMargins left="0.38" right="0.33" top="0.34" bottom="0.31496062992125984" header="0.27559055118110237" footer="0"/>
  <pageSetup paperSize="9" scale="76" orientation="portrait" r:id="rId1"/>
  <headerFooter alignWithMargins="0">
    <oddFooter>&amp;C&amp;F&amp;R&amp;D</oddFooter>
  </headerFooter>
  <cellWatches>
    <cellWatch r="O72"/>
    <cellWatch r="O57"/>
    <cellWatch r="O56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69"/>
  <sheetViews>
    <sheetView zoomScaleNormal="100" workbookViewId="0">
      <selection activeCell="N16" sqref="N16"/>
    </sheetView>
  </sheetViews>
  <sheetFormatPr defaultRowHeight="13.2" zeroHeight="1" x14ac:dyDescent="0.25"/>
  <cols>
    <col min="1" max="1" width="0.88671875" style="34" customWidth="1"/>
    <col min="2" max="3" width="10.6640625" customWidth="1"/>
    <col min="4" max="4" width="0.88671875" style="37" customWidth="1"/>
    <col min="5" max="5" width="28.5546875" bestFit="1" customWidth="1"/>
    <col min="6" max="6" width="0.88671875" style="37" customWidth="1"/>
    <col min="7" max="7" width="10.6640625" customWidth="1"/>
    <col min="8" max="8" width="0.88671875" customWidth="1"/>
    <col min="9" max="9" width="10.6640625" customWidth="1"/>
    <col min="10" max="10" width="0.5546875" style="19" customWidth="1"/>
    <col min="11" max="11" width="11.109375" customWidth="1"/>
    <col min="12" max="12" width="11.5546875" customWidth="1"/>
    <col min="13" max="13" width="0.88671875" style="37" customWidth="1"/>
    <col min="14" max="15" width="10.6640625" style="55" customWidth="1"/>
    <col min="16" max="16" width="0.88671875" style="54" customWidth="1"/>
    <col min="17" max="17" width="9.109375" style="55"/>
    <col min="18" max="18" width="10" style="55" customWidth="1"/>
    <col min="19" max="19" width="10.44140625" style="55" customWidth="1"/>
    <col min="20" max="20" width="9.109375" style="55"/>
  </cols>
  <sheetData>
    <row r="1" spans="2:21" ht="6" customHeight="1" x14ac:dyDescent="0.25">
      <c r="B1" s="34"/>
      <c r="C1" s="34"/>
      <c r="E1" s="34"/>
      <c r="G1" s="34"/>
      <c r="H1" s="34"/>
      <c r="I1" s="34"/>
      <c r="J1" s="37"/>
      <c r="K1" s="34"/>
      <c r="L1" s="34"/>
      <c r="N1" s="54"/>
      <c r="O1" s="54"/>
      <c r="Q1" s="256"/>
    </row>
    <row r="2" spans="2:21" ht="13.8" x14ac:dyDescent="0.25">
      <c r="B2" s="197" t="s">
        <v>34</v>
      </c>
      <c r="C2" s="199"/>
      <c r="D2" s="31"/>
      <c r="E2" s="126" t="s">
        <v>103</v>
      </c>
      <c r="F2" s="117"/>
      <c r="G2" s="101" t="s">
        <v>92</v>
      </c>
      <c r="H2" s="100"/>
      <c r="I2" s="194"/>
      <c r="J2" s="195"/>
      <c r="K2" s="195"/>
      <c r="L2" s="196"/>
      <c r="M2" s="118"/>
      <c r="N2" s="38" t="s">
        <v>66</v>
      </c>
      <c r="O2" s="14"/>
      <c r="P2" s="22"/>
      <c r="Q2" s="256"/>
      <c r="S2" s="55" t="s">
        <v>29</v>
      </c>
      <c r="T2" s="55" t="s">
        <v>30</v>
      </c>
    </row>
    <row r="3" spans="2:21" ht="6" customHeight="1" x14ac:dyDescent="0.25">
      <c r="B3" s="4"/>
      <c r="C3" s="5"/>
      <c r="D3" s="5"/>
      <c r="E3" s="5"/>
      <c r="F3" s="5"/>
      <c r="G3" s="5"/>
      <c r="H3" s="22"/>
      <c r="I3" s="5"/>
      <c r="J3" s="22"/>
      <c r="K3" s="5"/>
      <c r="L3" s="5"/>
      <c r="M3" s="5"/>
      <c r="N3" s="22"/>
      <c r="O3" s="29"/>
      <c r="P3" s="22"/>
      <c r="Q3" s="256"/>
    </row>
    <row r="4" spans="2:21" ht="12.75" customHeight="1" thickBot="1" x14ac:dyDescent="0.3">
      <c r="B4" s="86" t="s">
        <v>58</v>
      </c>
      <c r="C4" s="36"/>
      <c r="D4" s="7"/>
      <c r="E4" s="88" t="s">
        <v>53</v>
      </c>
      <c r="F4" s="42"/>
      <c r="G4" s="89" t="s">
        <v>69</v>
      </c>
      <c r="H4" s="40"/>
      <c r="I4" s="90" t="s">
        <v>68</v>
      </c>
      <c r="J4" s="41"/>
      <c r="K4" s="110" t="s">
        <v>37</v>
      </c>
      <c r="L4" s="111" t="s">
        <v>38</v>
      </c>
      <c r="M4" s="45"/>
      <c r="N4" s="56" t="s">
        <v>59</v>
      </c>
      <c r="O4" s="57" t="s">
        <v>60</v>
      </c>
      <c r="P4" s="58"/>
      <c r="Q4" s="256"/>
      <c r="R4" s="59"/>
      <c r="S4" s="59"/>
    </row>
    <row r="5" spans="2:21" ht="12.75" customHeight="1" thickBot="1" x14ac:dyDescent="0.3">
      <c r="B5" s="87" t="s">
        <v>54</v>
      </c>
      <c r="C5" s="44"/>
      <c r="D5" s="47"/>
      <c r="E5" s="20" t="s">
        <v>94</v>
      </c>
      <c r="F5" s="43"/>
      <c r="G5" s="18">
        <v>1.5</v>
      </c>
      <c r="H5" s="35"/>
      <c r="I5" s="18">
        <v>10</v>
      </c>
      <c r="J5" s="35"/>
      <c r="K5" s="113">
        <v>45.000999999999998</v>
      </c>
      <c r="L5" s="115">
        <v>25.001000000000001</v>
      </c>
      <c r="M5" s="8"/>
      <c r="N5" s="60">
        <f t="shared" ref="N5:N12" si="0">K5*(K5/L5+I5)/(2+I5)</f>
        <v>44.250863335466583</v>
      </c>
      <c r="O5" s="17">
        <v>90</v>
      </c>
      <c r="P5" s="23"/>
      <c r="Q5" s="256"/>
      <c r="R5" s="59"/>
      <c r="S5" s="59"/>
    </row>
    <row r="6" spans="2:21" ht="12.75" customHeight="1" x14ac:dyDescent="0.25">
      <c r="B6" s="87" t="s">
        <v>55</v>
      </c>
      <c r="C6" s="44"/>
      <c r="D6" s="47"/>
      <c r="E6" s="20" t="s">
        <v>49</v>
      </c>
      <c r="F6" s="43"/>
      <c r="G6" s="18">
        <v>1.5</v>
      </c>
      <c r="H6" s="35"/>
      <c r="I6" s="18">
        <v>3</v>
      </c>
      <c r="J6" s="35"/>
      <c r="K6" s="114">
        <f>K$5</f>
        <v>45.000999999999998</v>
      </c>
      <c r="L6" s="114">
        <f>L$5</f>
        <v>25.001000000000001</v>
      </c>
      <c r="M6" s="46"/>
      <c r="N6" s="60">
        <f t="shared" si="0"/>
        <v>43.200672005119785</v>
      </c>
      <c r="O6" s="17">
        <v>90</v>
      </c>
      <c r="P6" s="23"/>
      <c r="Q6" s="256"/>
      <c r="R6" s="59"/>
      <c r="S6" s="59"/>
    </row>
    <row r="7" spans="2:21" ht="12.75" customHeight="1" x14ac:dyDescent="0.25">
      <c r="B7" s="87" t="s">
        <v>57</v>
      </c>
      <c r="C7" s="13" t="str">
        <f>IF(C5="","",IF(C6="","",MAX(C6,#REF!)-C5))</f>
        <v/>
      </c>
      <c r="D7" s="47"/>
      <c r="E7" s="107" t="s">
        <v>70</v>
      </c>
      <c r="F7" s="43"/>
      <c r="G7" s="18">
        <v>1.5</v>
      </c>
      <c r="H7" s="35"/>
      <c r="I7" s="18">
        <v>3</v>
      </c>
      <c r="J7" s="35"/>
      <c r="K7" s="114">
        <f>K$5</f>
        <v>45.000999999999998</v>
      </c>
      <c r="L7" s="15">
        <f>L$5</f>
        <v>25.001000000000001</v>
      </c>
      <c r="M7" s="46"/>
      <c r="N7" s="60">
        <f t="shared" si="0"/>
        <v>43.200672005119785</v>
      </c>
      <c r="O7" s="17">
        <v>120</v>
      </c>
      <c r="P7" s="23"/>
      <c r="Q7" s="256"/>
      <c r="R7" s="59"/>
      <c r="S7" s="59"/>
    </row>
    <row r="8" spans="2:21" ht="12.75" customHeight="1" x14ac:dyDescent="0.25">
      <c r="B8" s="200" t="s">
        <v>93</v>
      </c>
      <c r="C8" s="201"/>
      <c r="D8" s="106"/>
      <c r="E8" s="107" t="s">
        <v>101</v>
      </c>
      <c r="F8" s="43"/>
      <c r="G8" s="18">
        <v>1.5</v>
      </c>
      <c r="H8" s="35"/>
      <c r="I8" s="18">
        <v>3</v>
      </c>
      <c r="J8" s="35"/>
      <c r="K8" s="15"/>
      <c r="L8" s="15">
        <f>L$5</f>
        <v>25.001000000000001</v>
      </c>
      <c r="M8" s="46"/>
      <c r="N8" s="60">
        <f t="shared" si="0"/>
        <v>0</v>
      </c>
      <c r="O8" s="17"/>
      <c r="P8" s="23"/>
      <c r="Q8" s="256"/>
      <c r="R8" s="59"/>
      <c r="S8" s="59"/>
    </row>
    <row r="9" spans="2:21" ht="12.75" customHeight="1" x14ac:dyDescent="0.25">
      <c r="B9" s="202"/>
      <c r="C9" s="203"/>
      <c r="D9" s="106"/>
      <c r="E9" s="107" t="s">
        <v>102</v>
      </c>
      <c r="F9" s="43"/>
      <c r="G9" s="18">
        <v>1.5</v>
      </c>
      <c r="H9" s="35"/>
      <c r="I9" s="18">
        <v>3</v>
      </c>
      <c r="J9" s="35"/>
      <c r="K9" s="15"/>
      <c r="L9" s="15">
        <f>L$5</f>
        <v>25.001000000000001</v>
      </c>
      <c r="M9" s="46"/>
      <c r="N9" s="60">
        <f t="shared" si="0"/>
        <v>0</v>
      </c>
      <c r="O9" s="17"/>
      <c r="P9" s="23"/>
      <c r="Q9" s="256"/>
      <c r="R9" s="59"/>
      <c r="S9" s="59"/>
    </row>
    <row r="10" spans="2:21" ht="12.75" customHeight="1" x14ac:dyDescent="0.25">
      <c r="B10" s="202"/>
      <c r="C10" s="203"/>
      <c r="D10" s="8"/>
      <c r="E10" s="20" t="s">
        <v>50</v>
      </c>
      <c r="F10" s="27"/>
      <c r="G10" s="18">
        <v>1.5</v>
      </c>
      <c r="H10" s="35"/>
      <c r="I10" s="18">
        <v>3</v>
      </c>
      <c r="J10" s="35"/>
      <c r="K10" s="15">
        <f>K$5</f>
        <v>45.000999999999998</v>
      </c>
      <c r="L10" s="15">
        <f>L$5</f>
        <v>25.001000000000001</v>
      </c>
      <c r="M10" s="46"/>
      <c r="N10" s="60">
        <f t="shared" si="0"/>
        <v>43.200672005119785</v>
      </c>
      <c r="O10" s="17">
        <v>70</v>
      </c>
      <c r="P10" s="23"/>
      <c r="Q10" s="256"/>
      <c r="R10" s="59"/>
      <c r="S10" s="59"/>
    </row>
    <row r="11" spans="2:21" ht="12.75" customHeight="1" x14ac:dyDescent="0.25">
      <c r="B11" s="202"/>
      <c r="C11" s="203"/>
      <c r="D11" s="5"/>
      <c r="E11" s="20" t="s">
        <v>51</v>
      </c>
      <c r="F11" s="43"/>
      <c r="G11" s="18">
        <v>1.5</v>
      </c>
      <c r="H11" s="35"/>
      <c r="I11" s="18">
        <v>3</v>
      </c>
      <c r="J11" s="35"/>
      <c r="K11" s="15">
        <f>K$5</f>
        <v>45.000999999999998</v>
      </c>
      <c r="L11" s="15">
        <f>L$5</f>
        <v>25.001000000000001</v>
      </c>
      <c r="M11" s="46"/>
      <c r="N11" s="60">
        <f t="shared" si="0"/>
        <v>43.200672005119785</v>
      </c>
      <c r="O11" s="17">
        <v>70</v>
      </c>
      <c r="P11" s="23"/>
      <c r="Q11" s="256"/>
      <c r="R11" s="59"/>
      <c r="S11" s="59"/>
    </row>
    <row r="12" spans="2:21" ht="18" customHeight="1" x14ac:dyDescent="0.25">
      <c r="B12" s="202"/>
      <c r="C12" s="203"/>
      <c r="D12" s="5"/>
      <c r="E12" s="20" t="s">
        <v>52</v>
      </c>
      <c r="F12" s="27"/>
      <c r="G12" s="18">
        <v>1.5</v>
      </c>
      <c r="H12" s="35"/>
      <c r="I12" s="18">
        <v>3</v>
      </c>
      <c r="J12" s="35"/>
      <c r="K12" s="15">
        <f>K$5</f>
        <v>45.000999999999998</v>
      </c>
      <c r="L12" s="15">
        <f>L$5</f>
        <v>25.001000000000001</v>
      </c>
      <c r="M12" s="46"/>
      <c r="N12" s="60">
        <f t="shared" si="0"/>
        <v>43.200672005119785</v>
      </c>
      <c r="O12" s="17">
        <v>70</v>
      </c>
      <c r="P12" s="23"/>
      <c r="Q12" s="256"/>
      <c r="R12" s="52"/>
      <c r="S12" s="59"/>
    </row>
    <row r="13" spans="2:21" ht="6" customHeight="1" x14ac:dyDescent="0.25">
      <c r="B13" s="6"/>
      <c r="C13" s="5"/>
      <c r="D13" s="5"/>
      <c r="E13" s="5"/>
      <c r="F13" s="5"/>
      <c r="G13" s="5"/>
      <c r="H13" s="22"/>
      <c r="I13" s="5"/>
      <c r="J13" s="22"/>
      <c r="K13" s="5"/>
      <c r="L13" s="5"/>
      <c r="M13" s="5"/>
      <c r="N13" s="69"/>
      <c r="O13" s="69"/>
      <c r="P13" s="22"/>
      <c r="Q13" s="256"/>
      <c r="R13" s="59"/>
      <c r="S13" s="59"/>
    </row>
    <row r="14" spans="2:21" ht="15" customHeight="1" x14ac:dyDescent="0.25">
      <c r="B14" s="197" t="s">
        <v>25</v>
      </c>
      <c r="C14" s="199"/>
      <c r="D14" s="31"/>
      <c r="E14" s="93" t="s">
        <v>85</v>
      </c>
      <c r="F14" s="94"/>
      <c r="G14" s="92" t="s">
        <v>83</v>
      </c>
      <c r="H14" s="22"/>
      <c r="I14" s="15">
        <v>20.001000000000001</v>
      </c>
      <c r="J14" s="24"/>
      <c r="K14" s="15">
        <f>+I14+0.001</f>
        <v>20.002000000000002</v>
      </c>
      <c r="L14" s="15">
        <f>+K14+0.001</f>
        <v>20.003000000000004</v>
      </c>
      <c r="M14" s="24"/>
      <c r="N14" s="21">
        <f>SUM(K14:L14)</f>
        <v>40.00500000000001</v>
      </c>
      <c r="O14" s="22"/>
      <c r="P14" s="22"/>
      <c r="Q14" s="256"/>
      <c r="R14" s="52"/>
      <c r="S14" s="65"/>
      <c r="T14" s="66"/>
      <c r="U14" s="2"/>
    </row>
    <row r="15" spans="2:21" x14ac:dyDescent="0.25">
      <c r="B15" s="200" t="s">
        <v>90</v>
      </c>
      <c r="C15" s="206"/>
      <c r="D15" s="22"/>
      <c r="E15" s="91" t="s">
        <v>3</v>
      </c>
      <c r="F15" s="27"/>
      <c r="G15" s="92" t="s">
        <v>8</v>
      </c>
      <c r="H15" s="22"/>
      <c r="I15" s="11">
        <f>+I18/(I14*60)*I17/100</f>
        <v>4.9998008432995009</v>
      </c>
      <c r="J15" s="24"/>
      <c r="K15" s="11">
        <f>+K18/(K14*60)*K17/100</f>
        <v>4.9996008732626738</v>
      </c>
      <c r="L15" s="11">
        <f>+L18/(L14*60)*L17/100</f>
        <v>4.9994009232198504</v>
      </c>
      <c r="M15" s="24"/>
      <c r="N15" s="22"/>
      <c r="O15" s="22"/>
      <c r="P15" s="22"/>
      <c r="Q15" s="256"/>
      <c r="R15" s="52"/>
      <c r="S15" s="67"/>
      <c r="T15" s="68"/>
      <c r="U15" s="3"/>
    </row>
    <row r="16" spans="2:21" x14ac:dyDescent="0.25">
      <c r="B16" s="209"/>
      <c r="C16" s="210"/>
      <c r="D16" s="22"/>
      <c r="E16" s="91" t="s">
        <v>2</v>
      </c>
      <c r="F16" s="27"/>
      <c r="G16" s="92" t="s">
        <v>8</v>
      </c>
      <c r="H16" s="22"/>
      <c r="I16" s="11">
        <f>60-I15</f>
        <v>55.000199156700496</v>
      </c>
      <c r="J16" s="24"/>
      <c r="K16" s="11">
        <f>60-K15</f>
        <v>55.000399126737328</v>
      </c>
      <c r="L16" s="11">
        <f>60-L15</f>
        <v>55.000599076780148</v>
      </c>
      <c r="M16" s="24"/>
      <c r="N16" s="22"/>
      <c r="O16" s="22"/>
      <c r="P16" s="22"/>
      <c r="Q16" s="256"/>
      <c r="R16" s="52"/>
      <c r="S16" s="67"/>
      <c r="T16" s="68"/>
      <c r="U16" s="3"/>
    </row>
    <row r="17" spans="2:21" x14ac:dyDescent="0.25">
      <c r="B17" s="209"/>
      <c r="C17" s="210"/>
      <c r="D17" s="22"/>
      <c r="E17" s="91" t="s">
        <v>39</v>
      </c>
      <c r="F17" s="27"/>
      <c r="G17" s="92"/>
      <c r="H17" s="22"/>
      <c r="I17" s="15">
        <v>100.001</v>
      </c>
      <c r="J17" s="24"/>
      <c r="K17" s="15">
        <f>+I17+0.001</f>
        <v>100.00200000000001</v>
      </c>
      <c r="L17" s="15">
        <f>+K17+0.001</f>
        <v>100.00300000000001</v>
      </c>
      <c r="M17" s="24"/>
      <c r="N17" s="22"/>
      <c r="O17" s="22"/>
      <c r="P17" s="22"/>
      <c r="Q17" s="256"/>
      <c r="R17" s="52"/>
      <c r="S17" s="59"/>
    </row>
    <row r="18" spans="2:21" x14ac:dyDescent="0.25">
      <c r="B18" s="209"/>
      <c r="C18" s="210"/>
      <c r="D18" s="22"/>
      <c r="E18" s="91" t="s">
        <v>35</v>
      </c>
      <c r="F18" s="27"/>
      <c r="G18" s="92" t="s">
        <v>91</v>
      </c>
      <c r="H18" s="22"/>
      <c r="I18" s="15">
        <v>6000.0010000000002</v>
      </c>
      <c r="J18" s="24"/>
      <c r="K18" s="15">
        <f>+I18</f>
        <v>6000.0010000000002</v>
      </c>
      <c r="L18" s="15">
        <f>+K18</f>
        <v>6000.0010000000002</v>
      </c>
      <c r="M18" s="120"/>
      <c r="N18" s="21">
        <f>SUM(K18:L18)</f>
        <v>12000.002</v>
      </c>
      <c r="O18" s="22"/>
      <c r="P18" s="22"/>
      <c r="Q18" s="256"/>
      <c r="R18" s="52"/>
      <c r="S18" s="59"/>
    </row>
    <row r="19" spans="2:21" x14ac:dyDescent="0.25">
      <c r="B19" s="207"/>
      <c r="C19" s="208"/>
      <c r="D19" s="73"/>
      <c r="E19" s="91" t="s">
        <v>4</v>
      </c>
      <c r="F19" s="27"/>
      <c r="G19" s="92" t="s">
        <v>36</v>
      </c>
      <c r="H19" s="27"/>
      <c r="I19" s="12">
        <f>I18/3600*0.407</f>
        <v>0.67833344638888882</v>
      </c>
      <c r="J19" s="25"/>
      <c r="K19" s="12">
        <f>K18/3600*0.407</f>
        <v>0.67833344638888882</v>
      </c>
      <c r="L19" s="12">
        <f>L18/3600*0.407</f>
        <v>0.67833344638888882</v>
      </c>
      <c r="M19" s="121"/>
      <c r="N19" s="64">
        <f>SUM(K19:L19)</f>
        <v>1.3566668927777776</v>
      </c>
      <c r="O19" s="22"/>
      <c r="P19" s="22"/>
      <c r="Q19" s="256"/>
      <c r="R19" s="52"/>
      <c r="S19" s="59"/>
    </row>
    <row r="20" spans="2:21" ht="6" customHeight="1" x14ac:dyDescent="0.25">
      <c r="B20" s="22"/>
      <c r="C20" s="22"/>
      <c r="D20" s="22"/>
      <c r="E20" s="22"/>
      <c r="F20" s="22"/>
      <c r="G20" s="22"/>
      <c r="H20" s="22"/>
      <c r="I20" s="5"/>
      <c r="J20" s="22"/>
      <c r="K20" s="5"/>
      <c r="L20" s="5"/>
      <c r="M20" s="22"/>
      <c r="N20" s="69"/>
      <c r="O20" s="69"/>
      <c r="P20" s="22"/>
      <c r="Q20" s="256"/>
      <c r="R20" s="59"/>
      <c r="S20" s="59"/>
    </row>
    <row r="21" spans="2:21" ht="12.75" customHeight="1" x14ac:dyDescent="0.25">
      <c r="B21" s="22"/>
      <c r="C21" s="22"/>
      <c r="D21" s="22"/>
      <c r="E21" s="22"/>
      <c r="F21" s="22"/>
      <c r="G21" s="22"/>
      <c r="H21" s="22"/>
      <c r="I21" s="5"/>
      <c r="J21" s="22"/>
      <c r="K21" s="5"/>
      <c r="L21" s="5"/>
      <c r="M21" s="22"/>
      <c r="N21" s="70" t="s">
        <v>24</v>
      </c>
      <c r="O21" s="70" t="s">
        <v>14</v>
      </c>
      <c r="P21" s="22"/>
      <c r="Q21" s="256"/>
      <c r="R21" s="59"/>
      <c r="S21" s="59"/>
    </row>
    <row r="22" spans="2:21" ht="12.75" customHeight="1" x14ac:dyDescent="0.25">
      <c r="B22" s="69"/>
      <c r="C22" s="69"/>
      <c r="D22" s="22"/>
      <c r="E22" s="69"/>
      <c r="F22" s="22"/>
      <c r="G22" s="92" t="s">
        <v>6</v>
      </c>
      <c r="H22" s="22"/>
      <c r="I22" s="89" t="s">
        <v>42</v>
      </c>
      <c r="J22" s="35"/>
      <c r="K22" s="89" t="s">
        <v>44</v>
      </c>
      <c r="L22" s="89" t="s">
        <v>45</v>
      </c>
      <c r="M22" s="22"/>
      <c r="N22" s="96" t="s">
        <v>47</v>
      </c>
      <c r="O22" s="96" t="s">
        <v>47</v>
      </c>
      <c r="P22" s="22"/>
      <c r="Q22" s="256"/>
      <c r="R22" s="59"/>
      <c r="S22" s="59"/>
    </row>
    <row r="23" spans="2:21" x14ac:dyDescent="0.25">
      <c r="B23" s="197" t="s">
        <v>97</v>
      </c>
      <c r="C23" s="198"/>
      <c r="D23" s="31"/>
      <c r="E23" s="91" t="s">
        <v>95</v>
      </c>
      <c r="F23" s="94"/>
      <c r="G23" s="96" t="s">
        <v>7</v>
      </c>
      <c r="H23" s="27"/>
      <c r="I23" s="16">
        <f>+(80-K5)/2+0.001</f>
        <v>17.500500000000002</v>
      </c>
      <c r="J23" s="26"/>
      <c r="K23" s="16">
        <f>+I23+0.001</f>
        <v>17.501500000000004</v>
      </c>
      <c r="L23" s="16">
        <f>+K23+0.001</f>
        <v>17.502500000000005</v>
      </c>
      <c r="M23" s="122"/>
      <c r="N23" s="71">
        <f>K23*(1+$S$31*(K23/K$14)/$I$5)/(1+2/$I$5)+L23*(1+$T$31*(L23/L$14)/$I$5)/(1+2/$I$5)</f>
        <v>39.20715706308394</v>
      </c>
      <c r="O23" s="72">
        <f>N23+$N$5</f>
        <v>83.458020398550531</v>
      </c>
      <c r="P23" s="26"/>
      <c r="Q23" s="256"/>
      <c r="R23" s="59"/>
      <c r="S23" s="61"/>
      <c r="T23" s="62"/>
      <c r="U23" s="1"/>
    </row>
    <row r="24" spans="2:21" ht="12.75" customHeight="1" x14ac:dyDescent="0.25">
      <c r="B24" s="200" t="s">
        <v>99</v>
      </c>
      <c r="C24" s="206"/>
      <c r="D24" s="22"/>
      <c r="E24" s="91" t="s">
        <v>19</v>
      </c>
      <c r="F24" s="27"/>
      <c r="G24" s="92" t="s">
        <v>7</v>
      </c>
      <c r="H24" s="22"/>
      <c r="I24" s="16"/>
      <c r="J24" s="26"/>
      <c r="K24" s="16">
        <f>I24</f>
        <v>0</v>
      </c>
      <c r="L24" s="16">
        <f>K24</f>
        <v>0</v>
      </c>
      <c r="M24" s="122"/>
      <c r="N24" s="71">
        <f>K24*(1+$S$31*(K24/K$14)/$I$5)/(1+2/$I$5)+L24*(1+$T$31*(L24/L$14)/$I$5)/(1+2/$I$5)</f>
        <v>0</v>
      </c>
      <c r="O24" s="72">
        <f>N24+$N$5</f>
        <v>44.250863335466583</v>
      </c>
      <c r="P24" s="73"/>
      <c r="Q24" s="256"/>
      <c r="R24" s="59"/>
      <c r="T24" s="62"/>
      <c r="U24" s="1"/>
    </row>
    <row r="25" spans="2:21" ht="12.75" customHeight="1" x14ac:dyDescent="0.25">
      <c r="B25" s="207"/>
      <c r="C25" s="208"/>
      <c r="D25" s="22"/>
      <c r="E25" s="91" t="s">
        <v>21</v>
      </c>
      <c r="F25" s="27"/>
      <c r="G25" s="92" t="s">
        <v>7</v>
      </c>
      <c r="H25" s="22"/>
      <c r="I25" s="16"/>
      <c r="J25" s="26"/>
      <c r="K25" s="16">
        <f>I25</f>
        <v>0</v>
      </c>
      <c r="L25" s="16">
        <f>+K25</f>
        <v>0</v>
      </c>
      <c r="M25" s="122"/>
      <c r="N25" s="71">
        <f>K25*(1+$S$31*(K25/K$14)/$I$5)/(1+2/$I$5)+L25*(1+$T$31*(L25/L$14)/$I$5)/(1+2/$I$5)</f>
        <v>0</v>
      </c>
      <c r="O25" s="72">
        <f>N25+$N$5</f>
        <v>44.250863335466583</v>
      </c>
      <c r="P25" s="26"/>
      <c r="Q25" s="256"/>
      <c r="R25" s="59"/>
      <c r="S25" s="61"/>
      <c r="T25" s="62"/>
      <c r="U25" s="1"/>
    </row>
    <row r="26" spans="2:21" ht="6" customHeight="1" x14ac:dyDescent="0.25">
      <c r="B26" s="104"/>
      <c r="C26" s="22"/>
      <c r="D26" s="22"/>
      <c r="E26" s="22"/>
      <c r="F26" s="22"/>
      <c r="G26" s="22"/>
      <c r="H26" s="22"/>
      <c r="I26" s="5"/>
      <c r="J26" s="22"/>
      <c r="K26" s="5"/>
      <c r="L26" s="5"/>
      <c r="M26" s="22"/>
      <c r="N26" s="33"/>
      <c r="O26" s="102"/>
      <c r="P26" s="33"/>
      <c r="Q26" s="256"/>
      <c r="R26" s="59"/>
      <c r="S26" s="59"/>
    </row>
    <row r="27" spans="2:21" ht="12.75" customHeight="1" x14ac:dyDescent="0.25">
      <c r="B27" s="197" t="s">
        <v>5</v>
      </c>
      <c r="C27" s="198"/>
      <c r="D27" s="22"/>
      <c r="E27" s="91" t="s">
        <v>64</v>
      </c>
      <c r="F27" s="27"/>
      <c r="G27" s="92" t="s">
        <v>11</v>
      </c>
      <c r="H27" s="22"/>
      <c r="I27" s="16"/>
      <c r="J27" s="53"/>
      <c r="K27" s="16"/>
      <c r="L27" s="16"/>
      <c r="M27" s="123"/>
      <c r="N27" s="71" t="str">
        <f>IF(L27="","",AVERAGE(K27:L27))</f>
        <v/>
      </c>
      <c r="O27" s="109" t="s">
        <v>82</v>
      </c>
      <c r="P27" s="33"/>
      <c r="Q27" s="256"/>
      <c r="S27" s="59"/>
    </row>
    <row r="28" spans="2:21" ht="13.8" thickBot="1" x14ac:dyDescent="0.3">
      <c r="B28" s="238"/>
      <c r="C28" s="239"/>
      <c r="D28" s="97"/>
      <c r="E28" s="91" t="s">
        <v>10</v>
      </c>
      <c r="F28" s="27"/>
      <c r="G28" s="92" t="s">
        <v>7</v>
      </c>
      <c r="H28" s="22"/>
      <c r="I28" s="16"/>
      <c r="J28" s="26"/>
      <c r="K28" s="16">
        <f>I28</f>
        <v>0</v>
      </c>
      <c r="L28" s="16">
        <f>+K28</f>
        <v>0</v>
      </c>
      <c r="M28" s="122"/>
      <c r="N28" s="71">
        <f>K28*(1+$S$31*(K28/K$14)/$I$5)/(1+2/$I$5)+L28*(1+$T$31*(L28/L$14)/$I$5)/(1+2/$I$5)</f>
        <v>0</v>
      </c>
      <c r="O28" s="75">
        <f>N28+$N$5</f>
        <v>44.250863335466583</v>
      </c>
      <c r="P28" s="73"/>
      <c r="Q28" s="256"/>
      <c r="R28" s="59"/>
      <c r="S28" s="59"/>
    </row>
    <row r="29" spans="2:21" ht="13.8" thickBot="1" x14ac:dyDescent="0.3">
      <c r="B29" s="240"/>
      <c r="C29" s="241"/>
      <c r="D29" s="29"/>
      <c r="E29" s="91" t="s">
        <v>9</v>
      </c>
      <c r="F29" s="27"/>
      <c r="G29" s="92" t="s">
        <v>7</v>
      </c>
      <c r="H29" s="22"/>
      <c r="I29" s="16"/>
      <c r="J29" s="26"/>
      <c r="K29" s="16">
        <f>I29</f>
        <v>0</v>
      </c>
      <c r="L29" s="16">
        <f>+K29</f>
        <v>0</v>
      </c>
      <c r="M29" s="122"/>
      <c r="N29" s="81">
        <f>K29*(1+$S$31*(K29/K$14)/$I$5)/(1+2/$I$5)+L29*(1+$T$31*(L29/L$14)/$I$5)/(1+2/$I$5)</f>
        <v>0</v>
      </c>
      <c r="O29" s="116">
        <f>N29+$N$5</f>
        <v>44.250863335466583</v>
      </c>
      <c r="P29" s="26"/>
      <c r="Q29" s="256"/>
      <c r="R29" s="59"/>
      <c r="S29" s="59"/>
    </row>
    <row r="30" spans="2:21" ht="6" customHeight="1" x14ac:dyDescent="0.25">
      <c r="B30" s="104"/>
      <c r="C30" s="22"/>
      <c r="D30" s="22"/>
      <c r="E30" s="22"/>
      <c r="F30" s="22"/>
      <c r="G30" s="22"/>
      <c r="H30" s="22"/>
      <c r="I30" s="10"/>
      <c r="J30" s="23"/>
      <c r="K30" s="10"/>
      <c r="L30" s="10"/>
      <c r="M30" s="23"/>
      <c r="N30" s="33"/>
      <c r="O30" s="103"/>
      <c r="P30" s="33"/>
      <c r="Q30" s="256"/>
      <c r="R30" s="59"/>
      <c r="S30" s="59"/>
    </row>
    <row r="31" spans="2:21" ht="15.6" x14ac:dyDescent="0.25">
      <c r="B31" s="197" t="s">
        <v>12</v>
      </c>
      <c r="C31" s="198"/>
      <c r="D31" s="97"/>
      <c r="E31" s="91" t="s">
        <v>13</v>
      </c>
      <c r="F31" s="27"/>
      <c r="G31" s="92" t="s">
        <v>11</v>
      </c>
      <c r="H31" s="22"/>
      <c r="I31" s="16"/>
      <c r="J31" s="53"/>
      <c r="K31" s="16"/>
      <c r="L31" s="16"/>
      <c r="M31" s="123"/>
      <c r="N31" s="71" t="str">
        <f>IF(L31="","",AVERAGE(K31:L31))</f>
        <v/>
      </c>
      <c r="O31" s="109" t="s">
        <v>82</v>
      </c>
      <c r="P31" s="30"/>
      <c r="Q31" s="256"/>
      <c r="R31" s="52" t="s">
        <v>65</v>
      </c>
      <c r="S31" s="74">
        <f>(2/(LN(2)/$G$5*K$15/60))*(1-((K$14*S32-S34*S32*S32)/(K$14*LN(2)/$G$5*K$15/60)))</f>
        <v>3.9325078257235258</v>
      </c>
      <c r="T31" s="74">
        <f>(2/(LN(2)/$G$5*L$15/60))*(1-((L$14*T32-T34*T32*T32)/(L$14*LN(2)/$G$5*L$15/60)))</f>
        <v>3.93253127760067</v>
      </c>
    </row>
    <row r="32" spans="2:21" x14ac:dyDescent="0.25">
      <c r="B32" s="254"/>
      <c r="C32" s="255"/>
      <c r="D32" s="29"/>
      <c r="E32" s="91" t="s">
        <v>10</v>
      </c>
      <c r="F32" s="27"/>
      <c r="G32" s="92" t="s">
        <v>7</v>
      </c>
      <c r="H32" s="22"/>
      <c r="I32" s="16"/>
      <c r="J32" s="26"/>
      <c r="K32" s="16">
        <f>I32</f>
        <v>0</v>
      </c>
      <c r="L32" s="16">
        <f>+K32</f>
        <v>0</v>
      </c>
      <c r="M32" s="122"/>
      <c r="N32" s="71">
        <f>K32*(1+$S$31*(K32/K$14)/$I$5)/(1+2/$I$5)+L32*(1+$T$31*(L32/L$14)/$I$5)/(1+2/$I$5)</f>
        <v>0</v>
      </c>
      <c r="O32" s="75">
        <f>N32+$N$5</f>
        <v>44.250863335466583</v>
      </c>
      <c r="P32" s="26"/>
      <c r="Q32" s="256"/>
      <c r="R32" s="52" t="s">
        <v>26</v>
      </c>
      <c r="S32" s="76">
        <f>1-EXP(-K$15/60*LN(2)/$G$5)</f>
        <v>3.7773205293951229E-2</v>
      </c>
      <c r="T32" s="76">
        <f>1-EXP(-L$15/60*LN(2)/$G$5)</f>
        <v>3.777172351905167E-2</v>
      </c>
    </row>
    <row r="33" spans="2:21" ht="13.8" thickBot="1" x14ac:dyDescent="0.3">
      <c r="B33" s="230"/>
      <c r="C33" s="231"/>
      <c r="D33" s="29"/>
      <c r="E33" s="91" t="s">
        <v>48</v>
      </c>
      <c r="F33" s="27"/>
      <c r="G33" s="92" t="s">
        <v>7</v>
      </c>
      <c r="H33" s="22"/>
      <c r="I33" s="16"/>
      <c r="J33" s="26"/>
      <c r="K33" s="16">
        <f>I33</f>
        <v>0</v>
      </c>
      <c r="L33" s="16">
        <f>+K33</f>
        <v>0</v>
      </c>
      <c r="M33" s="122"/>
      <c r="N33" s="81">
        <f>K33*(1+$S$31*(K33/K$14)/$I$5)/(1+2/$I$5)+L33*(1+$T$31*(L33/L$14)/$I$5)/(1+2/$I$5)</f>
        <v>0</v>
      </c>
      <c r="O33" s="105">
        <f>N33+$N$5</f>
        <v>44.250863335466583</v>
      </c>
      <c r="P33" s="26"/>
      <c r="Q33" s="256"/>
      <c r="R33" s="52" t="s">
        <v>27</v>
      </c>
      <c r="S33" s="78">
        <f>EXP(-K$16/60*LN(2)/$G$5)</f>
        <v>0.65469027511324251</v>
      </c>
      <c r="T33" s="78">
        <f>EXP(-L$16/60*LN(2)/$G$5)</f>
        <v>0.65468926692876028</v>
      </c>
    </row>
    <row r="34" spans="2:21" ht="13.8" thickBot="1" x14ac:dyDescent="0.3">
      <c r="B34" s="230"/>
      <c r="C34" s="231"/>
      <c r="D34" s="29"/>
      <c r="E34" s="91" t="s">
        <v>9</v>
      </c>
      <c r="F34" s="27"/>
      <c r="G34" s="92" t="s">
        <v>7</v>
      </c>
      <c r="H34" s="22"/>
      <c r="I34" s="16"/>
      <c r="J34" s="26"/>
      <c r="K34" s="16">
        <f>+I34</f>
        <v>0</v>
      </c>
      <c r="L34" s="16">
        <f>+K34</f>
        <v>0</v>
      </c>
      <c r="M34" s="122"/>
      <c r="N34" s="71">
        <f>K34*(1+$S$31*(K34/K$14)/$I$5)/(1+2/$I$5)+L34*(1+$T$31*(L34/L$14)/$I$5)/(1+2/$I$5)</f>
        <v>0</v>
      </c>
      <c r="O34" s="77">
        <f>N34+$N$5</f>
        <v>44.250863335466583</v>
      </c>
      <c r="P34" s="26"/>
      <c r="Q34" s="256"/>
      <c r="R34" s="52" t="s">
        <v>28</v>
      </c>
      <c r="S34" s="78">
        <f>(K$14*S33-S33-K$14*S33*S33*EXP(-LN(2)/$G$5*K$15/60)+POWER(S33,K$14+1)*EXP(-LN(2)/$G$5*K$14*K$15/60))/POWER(1-S33*EXP(-LN(2)/$G$5*K$15/60),2)</f>
        <v>30.607658071187597</v>
      </c>
      <c r="T34" s="78">
        <f>(L$14*T33-T33-L$14*T33*T33*EXP(-LN(2)/$G$5*L$15/60)+POWER(T33,L$14+1)*EXP(-LN(2)/$G$5*L$14*L$15/60))/POWER(1-T33*EXP(-LN(2)/$G$5*L$15/60),2)</f>
        <v>30.609379965072918</v>
      </c>
    </row>
    <row r="35" spans="2:21" x14ac:dyDescent="0.25">
      <c r="B35" s="230"/>
      <c r="C35" s="231"/>
      <c r="D35" s="29"/>
      <c r="E35" s="91" t="s">
        <v>46</v>
      </c>
      <c r="F35" s="27"/>
      <c r="G35" s="92" t="s">
        <v>7</v>
      </c>
      <c r="H35" s="22"/>
      <c r="I35" s="16"/>
      <c r="J35" s="26"/>
      <c r="K35" s="16">
        <f>I35</f>
        <v>0</v>
      </c>
      <c r="L35" s="16">
        <f>+K35</f>
        <v>0</v>
      </c>
      <c r="M35" s="122"/>
      <c r="N35" s="99">
        <f>K35*(1+$S$31*(K35/K$14)/$I$5)/(1+2/$I$5)+L35*(1+$T$31*(L35/L$14)/$I$5)/(1+2/$I$5)</f>
        <v>0</v>
      </c>
      <c r="O35" s="79">
        <f>N35+$N$5</f>
        <v>44.250863335466583</v>
      </c>
      <c r="P35" s="26"/>
      <c r="Q35" s="256"/>
      <c r="S35" s="80"/>
    </row>
    <row r="36" spans="2:21" ht="6" customHeight="1" x14ac:dyDescent="0.25">
      <c r="B36" s="69"/>
      <c r="C36" s="22"/>
      <c r="D36" s="22"/>
      <c r="E36" s="22"/>
      <c r="F36" s="22"/>
      <c r="G36" s="22"/>
      <c r="H36" s="22"/>
      <c r="I36" s="10"/>
      <c r="J36" s="23"/>
      <c r="K36" s="10"/>
      <c r="L36" s="10"/>
      <c r="M36" s="23"/>
      <c r="N36" s="33"/>
      <c r="O36" s="103"/>
      <c r="P36" s="33"/>
      <c r="Q36" s="256"/>
      <c r="R36" s="59"/>
      <c r="S36" s="59"/>
    </row>
    <row r="37" spans="2:21" ht="15.6" x14ac:dyDescent="0.25">
      <c r="B37" s="197" t="s">
        <v>40</v>
      </c>
      <c r="C37" s="198"/>
      <c r="D37" s="97"/>
      <c r="E37" s="91" t="s">
        <v>41</v>
      </c>
      <c r="F37" s="27"/>
      <c r="G37" s="92" t="s">
        <v>11</v>
      </c>
      <c r="H37" s="22"/>
      <c r="I37" s="16"/>
      <c r="J37" s="53"/>
      <c r="K37" s="16"/>
      <c r="L37" s="16"/>
      <c r="M37" s="122"/>
      <c r="N37" s="71" t="str">
        <f>IF(L37="","",AVERAGE(K37:L37))</f>
        <v/>
      </c>
      <c r="O37" s="109" t="s">
        <v>82</v>
      </c>
      <c r="P37" s="30"/>
      <c r="Q37" s="256"/>
      <c r="R37" s="59"/>
      <c r="S37" s="59"/>
    </row>
    <row r="38" spans="2:21" x14ac:dyDescent="0.25">
      <c r="B38" s="242"/>
      <c r="C38" s="243"/>
      <c r="D38" s="29"/>
      <c r="E38" s="91" t="s">
        <v>10</v>
      </c>
      <c r="F38" s="27"/>
      <c r="G38" s="92" t="s">
        <v>7</v>
      </c>
      <c r="H38" s="22"/>
      <c r="I38" s="16"/>
      <c r="J38" s="26"/>
      <c r="K38" s="16">
        <f>I38</f>
        <v>0</v>
      </c>
      <c r="L38" s="16">
        <f>+K38</f>
        <v>0</v>
      </c>
      <c r="M38" s="122"/>
      <c r="N38" s="71">
        <f>K38*(1+$S$31*(K38/K$14)/$I$5)/(1+2/$I$5)+L38*(1+$T$31*(L38/L$14)/$I$5)/(1+2/$I$5)</f>
        <v>0</v>
      </c>
      <c r="O38" s="72">
        <f>N38+$N$5</f>
        <v>44.250863335466583</v>
      </c>
      <c r="P38" s="26"/>
      <c r="Q38" s="256"/>
      <c r="R38" s="59"/>
      <c r="S38" s="80"/>
    </row>
    <row r="39" spans="2:21" ht="13.8" thickBot="1" x14ac:dyDescent="0.3">
      <c r="B39" s="244"/>
      <c r="C39" s="245"/>
      <c r="D39" s="29"/>
      <c r="E39" s="91" t="s">
        <v>48</v>
      </c>
      <c r="F39" s="27"/>
      <c r="G39" s="92" t="s">
        <v>7</v>
      </c>
      <c r="H39" s="22"/>
      <c r="I39" s="16"/>
      <c r="J39" s="26"/>
      <c r="K39" s="16">
        <f>I39</f>
        <v>0</v>
      </c>
      <c r="L39" s="16">
        <f>+K39</f>
        <v>0</v>
      </c>
      <c r="M39" s="122"/>
      <c r="N39" s="71">
        <f>K39*(1+$S$31*(K39/K$14)/$I$5)/(1+2/$I$5)+L39*(1+$T$31*(L39/L$14)/$I$5)/(1+2/$I$5)</f>
        <v>0</v>
      </c>
      <c r="O39" s="75">
        <f>N39+$N$5</f>
        <v>44.250863335466583</v>
      </c>
      <c r="P39" s="26"/>
      <c r="Q39" s="256"/>
      <c r="R39" s="59"/>
      <c r="S39" s="80"/>
    </row>
    <row r="40" spans="2:21" ht="13.8" thickBot="1" x14ac:dyDescent="0.3">
      <c r="B40" s="246"/>
      <c r="C40" s="247"/>
      <c r="D40" s="29"/>
      <c r="E40" s="91" t="s">
        <v>9</v>
      </c>
      <c r="F40" s="27"/>
      <c r="G40" s="92" t="s">
        <v>7</v>
      </c>
      <c r="H40" s="22"/>
      <c r="I40" s="16"/>
      <c r="J40" s="26"/>
      <c r="K40" s="16">
        <f>I40</f>
        <v>0</v>
      </c>
      <c r="L40" s="16">
        <f>+K40</f>
        <v>0</v>
      </c>
      <c r="M40" s="122"/>
      <c r="N40" s="81">
        <f>K40*(1+$S$31*(K40/K$14)/$I$5)/(1+2/$I$5)+L40*(1+$T$31*(L40/L$14)/$I$5)/(1+2/$I$5)</f>
        <v>0</v>
      </c>
      <c r="O40" s="116">
        <f>N40+$N$5</f>
        <v>44.250863335466583</v>
      </c>
      <c r="P40" s="26"/>
      <c r="Q40" s="256"/>
      <c r="R40" s="59"/>
      <c r="S40" s="80"/>
    </row>
    <row r="41" spans="2:21" ht="6" customHeight="1" x14ac:dyDescent="0.25">
      <c r="B41" s="104"/>
      <c r="C41" s="22"/>
      <c r="D41" s="22"/>
      <c r="E41" s="22"/>
      <c r="F41" s="22"/>
      <c r="G41" s="22"/>
      <c r="H41" s="22"/>
      <c r="I41" s="5"/>
      <c r="J41" s="22"/>
      <c r="K41" s="5"/>
      <c r="L41" s="5"/>
      <c r="M41" s="22"/>
      <c r="N41" s="33"/>
      <c r="O41" s="33"/>
      <c r="P41" s="33"/>
      <c r="Q41" s="256"/>
      <c r="R41" s="59"/>
      <c r="S41" s="59"/>
    </row>
    <row r="42" spans="2:21" ht="15.6" x14ac:dyDescent="0.25">
      <c r="B42" s="197" t="s">
        <v>22</v>
      </c>
      <c r="C42" s="198"/>
      <c r="D42" s="98"/>
      <c r="E42" s="91" t="s">
        <v>15</v>
      </c>
      <c r="F42" s="27"/>
      <c r="G42" s="92" t="s">
        <v>11</v>
      </c>
      <c r="H42" s="28"/>
      <c r="I42" s="26"/>
      <c r="J42" s="26"/>
      <c r="K42" s="16"/>
      <c r="L42" s="16"/>
      <c r="M42" s="26"/>
      <c r="N42" s="30"/>
      <c r="O42" s="30"/>
      <c r="P42" s="30"/>
      <c r="Q42" s="256"/>
      <c r="R42" s="52" t="s">
        <v>65</v>
      </c>
      <c r="S42" s="74">
        <f>(2/(LN(2)/$G$6*K$15/60))*(1-((K$14*S43-S45*S43*S43)/(K$14*LN(2)/$G$6*K$15/60)))</f>
        <v>3.9325078257235258</v>
      </c>
      <c r="T42" s="74">
        <f>(2/(LN(2)/$G$6*L$15/60))*(1-((L$14*T43-T45*T43*T43)/(L$14*LN(2)/$G$6*L$15/60)))</f>
        <v>3.93253127760067</v>
      </c>
      <c r="U42" s="1"/>
    </row>
    <row r="43" spans="2:21" x14ac:dyDescent="0.25">
      <c r="B43" s="248"/>
      <c r="C43" s="249"/>
      <c r="D43" s="22"/>
      <c r="E43" s="91" t="s">
        <v>20</v>
      </c>
      <c r="F43" s="27"/>
      <c r="G43" s="92" t="s">
        <v>7</v>
      </c>
      <c r="H43" s="22"/>
      <c r="I43" s="26"/>
      <c r="J43" s="26"/>
      <c r="K43" s="16"/>
      <c r="L43" s="16">
        <f>+K43</f>
        <v>0</v>
      </c>
      <c r="M43" s="122"/>
      <c r="N43" s="71">
        <f>K43*(1+$S$42*(K43/K$14)/$I$6)/(1+2/$I$6)+L43*(1+$T$42*(L43/L$14)/$I$6)/(1+2/$I$6)</f>
        <v>0</v>
      </c>
      <c r="O43" s="72">
        <f>N43+$N$6</f>
        <v>43.200672005119785</v>
      </c>
      <c r="P43" s="26"/>
      <c r="Q43" s="256"/>
      <c r="R43" s="52" t="s">
        <v>26</v>
      </c>
      <c r="S43" s="76">
        <f>1-EXP(-K$15/60*LN(2)/$G$6)</f>
        <v>3.7773205293951229E-2</v>
      </c>
      <c r="T43" s="76">
        <f>1-EXP(-L$15/60*LN(2)/$G$6)</f>
        <v>3.777172351905167E-2</v>
      </c>
      <c r="U43" s="1"/>
    </row>
    <row r="44" spans="2:21" ht="16.2" thickBot="1" x14ac:dyDescent="0.3">
      <c r="B44" s="250"/>
      <c r="C44" s="251"/>
      <c r="D44" s="22"/>
      <c r="E44" s="91" t="s">
        <v>16</v>
      </c>
      <c r="F44" s="27"/>
      <c r="G44" s="92" t="s">
        <v>7</v>
      </c>
      <c r="H44" s="22"/>
      <c r="I44" s="26"/>
      <c r="J44" s="26"/>
      <c r="K44" s="16"/>
      <c r="L44" s="16">
        <f>+K44</f>
        <v>0</v>
      </c>
      <c r="M44" s="122"/>
      <c r="N44" s="71">
        <f>K44*(1+$S$42*(K44/K$14)/$I$6)/(1+2/$I$6)+L44*(1+$T$42*(L44/L$14)/$I$6)/(1+2/$I$6)</f>
        <v>0</v>
      </c>
      <c r="O44" s="75">
        <f>N44+$N$6</f>
        <v>43.200672005119785</v>
      </c>
      <c r="P44" s="26"/>
      <c r="Q44" s="256"/>
      <c r="R44" s="52" t="s">
        <v>27</v>
      </c>
      <c r="S44" s="78">
        <f>EXP(-K$16/60*LN(2)/$G$6)</f>
        <v>0.65469027511324251</v>
      </c>
      <c r="T44" s="78">
        <f>EXP(-L$16/60*LN(2)/$G$6)</f>
        <v>0.65468926692876028</v>
      </c>
      <c r="U44" s="1"/>
    </row>
    <row r="45" spans="2:21" ht="16.2" thickBot="1" x14ac:dyDescent="0.3">
      <c r="B45" s="252"/>
      <c r="C45" s="253"/>
      <c r="D45" s="22"/>
      <c r="E45" s="91" t="s">
        <v>17</v>
      </c>
      <c r="F45" s="27"/>
      <c r="G45" s="92" t="s">
        <v>7</v>
      </c>
      <c r="H45" s="22"/>
      <c r="I45" s="16"/>
      <c r="J45" s="26"/>
      <c r="K45" s="16">
        <f>I45</f>
        <v>0</v>
      </c>
      <c r="L45" s="16">
        <f>+K45</f>
        <v>0</v>
      </c>
      <c r="M45" s="124"/>
      <c r="N45" s="81">
        <f>K45*(1+$S$42*(K45/K$14)/$I$6)/(1+2/$I$6)+L45*(1+$T$42*(L45/L$14)/$I$6)/(1+2/$I$6)</f>
        <v>0</v>
      </c>
      <c r="O45" s="82">
        <f>N45+$N$6</f>
        <v>43.200672005119785</v>
      </c>
      <c r="P45" s="26"/>
      <c r="Q45" s="256"/>
      <c r="R45" s="52" t="s">
        <v>28</v>
      </c>
      <c r="S45" s="78">
        <f>(K$14*S44-S44-K$14*S44*S44*EXP(-LN(2)/$G$6*K$15/60)+POWER(S44,K$14+1)*EXP(-LN(2)/$G$6*K$14*K$15/60))/POWER(1-S44*EXP(-LN(2)/$G$6*K$15/60),2)</f>
        <v>30.607658071187597</v>
      </c>
      <c r="T45" s="78">
        <f>(L$14*T44-T44-L$14*T44*T44*EXP(-LN(2)/$G$6*L$15/60)+POWER(T44,L$14+1)*EXP(-LN(2)/$G$6*L$14*L$15/60))/POWER(1-T44*EXP(-LN(2)/$G$6*L$15/60),2)</f>
        <v>30.609379965072918</v>
      </c>
      <c r="U45" s="1"/>
    </row>
    <row r="46" spans="2:21" ht="6" customHeight="1" x14ac:dyDescent="0.25">
      <c r="B46" s="104"/>
      <c r="C46" s="22"/>
      <c r="D46" s="22"/>
      <c r="E46" s="22"/>
      <c r="F46" s="22"/>
      <c r="G46" s="22"/>
      <c r="H46" s="22"/>
      <c r="I46" s="5"/>
      <c r="J46" s="22"/>
      <c r="K46" s="5"/>
      <c r="L46" s="5"/>
      <c r="M46" s="22"/>
      <c r="N46" s="33"/>
      <c r="O46" s="33"/>
      <c r="P46" s="33"/>
      <c r="Q46" s="256"/>
      <c r="R46" s="59"/>
      <c r="S46" s="59"/>
    </row>
    <row r="47" spans="2:21" ht="15.6" x14ac:dyDescent="0.25">
      <c r="B47" s="197" t="s">
        <v>23</v>
      </c>
      <c r="C47" s="199"/>
      <c r="D47" s="31"/>
      <c r="E47" s="91" t="s">
        <v>15</v>
      </c>
      <c r="F47" s="27"/>
      <c r="G47" s="92" t="s">
        <v>11</v>
      </c>
      <c r="H47" s="28"/>
      <c r="I47" s="26"/>
      <c r="J47" s="26"/>
      <c r="K47" s="16"/>
      <c r="L47" s="16"/>
      <c r="M47" s="125"/>
      <c r="N47" s="30"/>
      <c r="O47" s="30"/>
      <c r="P47" s="30"/>
      <c r="Q47" s="256"/>
      <c r="R47" s="52" t="s">
        <v>65</v>
      </c>
      <c r="S47" s="74">
        <f>(2/(LN(2)/$G$10*K$15/60))*(1-((K$14*S48-S50*S48*S48)/(K$14*LN(2)/$G$10*K$15/60)))</f>
        <v>3.9325078257235258</v>
      </c>
      <c r="T47" s="74">
        <f>(2/(LN(2)/$G$10*L$15/60))*(1-((L$14*T48-T50*T48*T48)/(L$14*LN(2)/$G$10*L$15/60)))</f>
        <v>3.93253127760067</v>
      </c>
      <c r="U47" s="1"/>
    </row>
    <row r="48" spans="2:21" x14ac:dyDescent="0.25">
      <c r="B48" s="258"/>
      <c r="C48" s="259"/>
      <c r="D48" s="22"/>
      <c r="E48" s="91" t="s">
        <v>20</v>
      </c>
      <c r="F48" s="27"/>
      <c r="G48" s="92" t="s">
        <v>7</v>
      </c>
      <c r="H48" s="28"/>
      <c r="I48" s="26"/>
      <c r="J48" s="26"/>
      <c r="K48" s="16"/>
      <c r="L48" s="16">
        <f>K48</f>
        <v>0</v>
      </c>
      <c r="M48" s="122"/>
      <c r="N48" s="71">
        <f>K48*(1+$S$47*(K48/K$14)/$I$10)/(1+2/$I$10)+L48*(1+$T$47*(L48/L$14)/$I$10)/(1+2/$I$10)</f>
        <v>0</v>
      </c>
      <c r="O48" s="72">
        <f>N48+$N$10</f>
        <v>43.200672005119785</v>
      </c>
      <c r="P48" s="26"/>
      <c r="Q48" s="256"/>
      <c r="R48" s="52" t="s">
        <v>26</v>
      </c>
      <c r="S48" s="76">
        <f>1-EXP(-K$15/60*LN(2)/$G$10)</f>
        <v>3.7773205293951229E-2</v>
      </c>
      <c r="T48" s="76">
        <f>1-EXP(-L$15/60*LN(2)/$G$10)</f>
        <v>3.777172351905167E-2</v>
      </c>
      <c r="U48" s="1"/>
    </row>
    <row r="49" spans="2:21" ht="16.2" thickBot="1" x14ac:dyDescent="0.3">
      <c r="B49" s="260"/>
      <c r="C49" s="261"/>
      <c r="D49" s="22"/>
      <c r="E49" s="91" t="s">
        <v>16</v>
      </c>
      <c r="F49" s="27"/>
      <c r="G49" s="92" t="s">
        <v>7</v>
      </c>
      <c r="H49" s="22"/>
      <c r="I49" s="26"/>
      <c r="J49" s="26"/>
      <c r="K49" s="16"/>
      <c r="L49" s="16">
        <f>K49</f>
        <v>0</v>
      </c>
      <c r="M49" s="122"/>
      <c r="N49" s="71">
        <f>K49*(1+$S$47*(K49/K$14)/$I$10)/(1+2/$I$10)+L49*(1+$T$47*(L49/L$14)/$I$10)/(1+2/$I$10)</f>
        <v>0</v>
      </c>
      <c r="O49" s="75">
        <f>N49+$N$10</f>
        <v>43.200672005119785</v>
      </c>
      <c r="P49" s="26"/>
      <c r="Q49" s="256"/>
      <c r="R49" s="52" t="s">
        <v>27</v>
      </c>
      <c r="S49" s="78">
        <f>EXP(-K$16/60*LN(2)/$G$10)</f>
        <v>0.65469027511324251</v>
      </c>
      <c r="T49" s="78">
        <f>EXP(-L$16/60*LN(2)/$G$10)</f>
        <v>0.65468926692876028</v>
      </c>
      <c r="U49" s="1"/>
    </row>
    <row r="50" spans="2:21" ht="16.2" thickBot="1" x14ac:dyDescent="0.3">
      <c r="B50" s="262"/>
      <c r="C50" s="263"/>
      <c r="D50" s="32"/>
      <c r="E50" s="91" t="s">
        <v>17</v>
      </c>
      <c r="F50" s="27"/>
      <c r="G50" s="92" t="s">
        <v>7</v>
      </c>
      <c r="H50" s="22"/>
      <c r="I50" s="16"/>
      <c r="J50" s="26"/>
      <c r="K50" s="16">
        <f>+I50</f>
        <v>0</v>
      </c>
      <c r="L50" s="16">
        <f>+K50</f>
        <v>0</v>
      </c>
      <c r="M50" s="124"/>
      <c r="N50" s="81">
        <f>K50*(1+$S$47*(K50/K$14)/$I$10)/(1+2/$I$10)+L50*(1+$T$47*(L50/L$14)/$I$10)/(1+2/$I$10)</f>
        <v>0</v>
      </c>
      <c r="O50" s="82">
        <f>N50+$N$10</f>
        <v>43.200672005119785</v>
      </c>
      <c r="P50" s="26"/>
      <c r="Q50" s="256"/>
      <c r="R50" s="52" t="s">
        <v>28</v>
      </c>
      <c r="S50" s="78">
        <f>(K$14*S49-S49-K$14*S49*S49*EXP(-LN(2)/$G$10*K$15/60)+POWER(S49,K$14+1)*EXP(-LN(2)/$G$10*K$14*K$15/60))/POWER(1-S49*EXP(-LN(2)/$G$10*K$15/60),2)</f>
        <v>30.607658071187597</v>
      </c>
      <c r="T50" s="78">
        <f>(L$14*T49-T49-L$14*T49*T49*EXP(-LN(2)/$G$10*L$15/60)+POWER(T49,L$14+1)*EXP(-LN(2)/$G$10*L$14*L$15/60))/POWER(1-T49*EXP(-LN(2)/$G$10*L$15/60),2)</f>
        <v>30.609379965072918</v>
      </c>
      <c r="U50" s="1"/>
    </row>
    <row r="51" spans="2:21" ht="6" customHeight="1" x14ac:dyDescent="0.25">
      <c r="B51" s="69"/>
      <c r="C51" s="69"/>
      <c r="D51" s="22"/>
      <c r="E51" s="22"/>
      <c r="F51" s="22"/>
      <c r="G51" s="23"/>
      <c r="H51" s="22"/>
      <c r="I51" s="26"/>
      <c r="J51" s="22"/>
      <c r="K51" s="5"/>
      <c r="L51" s="5"/>
      <c r="M51" s="22"/>
      <c r="N51" s="22"/>
      <c r="O51" s="22"/>
      <c r="P51" s="22"/>
      <c r="Q51" s="256"/>
      <c r="R51" s="52" t="s">
        <v>65</v>
      </c>
      <c r="S51" s="74">
        <f>(2/(LN(2)/$G$11*K$15/60))*(1-((K$14*S52-S54*S52*S52)/(K$14*LN(2)/$G$11*K$15/60)))</f>
        <v>3.9325078257235258</v>
      </c>
      <c r="T51" s="74">
        <f>(2/(LN(2)/$G$11*L$15/60))*(1-((L$14*T52-T54*T52*T52)/(L$14*LN(2)/$G$11*L$15/60)))</f>
        <v>3.93253127760067</v>
      </c>
    </row>
    <row r="52" spans="2:21" ht="15.6" x14ac:dyDescent="0.25">
      <c r="B52" s="197" t="s">
        <v>96</v>
      </c>
      <c r="C52" s="198"/>
      <c r="D52" s="98"/>
      <c r="E52" s="91" t="s">
        <v>15</v>
      </c>
      <c r="F52" s="27"/>
      <c r="G52" s="92" t="s">
        <v>11</v>
      </c>
      <c r="H52" s="28"/>
      <c r="I52" s="26"/>
      <c r="J52" s="26"/>
      <c r="K52" s="16"/>
      <c r="L52" s="16"/>
      <c r="M52" s="125"/>
      <c r="N52" s="84"/>
      <c r="O52" s="30"/>
      <c r="P52" s="30"/>
      <c r="Q52" s="256"/>
      <c r="R52" s="52" t="s">
        <v>26</v>
      </c>
      <c r="S52" s="76">
        <f>1-EXP(-K$15/60*LN(2)/$G$11)</f>
        <v>3.7773205293951229E-2</v>
      </c>
      <c r="T52" s="76">
        <f>1-EXP(-L$15/60*LN(2)/$G$11)</f>
        <v>3.777172351905167E-2</v>
      </c>
      <c r="U52" s="1"/>
    </row>
    <row r="53" spans="2:21" ht="16.2" thickBot="1" x14ac:dyDescent="0.3">
      <c r="B53" s="264"/>
      <c r="C53" s="265"/>
      <c r="D53" s="22"/>
      <c r="E53" s="91" t="s">
        <v>16</v>
      </c>
      <c r="F53" s="27"/>
      <c r="G53" s="92" t="s">
        <v>7</v>
      </c>
      <c r="H53" s="28"/>
      <c r="I53" s="26"/>
      <c r="J53" s="26"/>
      <c r="K53" s="16"/>
      <c r="L53" s="16">
        <f>+K53</f>
        <v>0</v>
      </c>
      <c r="M53" s="26"/>
      <c r="N53" s="85">
        <f>K53*(1+$S$51*(K53/K$14)/$I$11)/(1+2/$I$11)+L53*(1+$T$51*(L53/L$14)/$I$11)/(1+2/$I$11)</f>
        <v>0</v>
      </c>
      <c r="O53" s="75">
        <f>N53+$N$11</f>
        <v>43.200672005119785</v>
      </c>
      <c r="P53" s="23"/>
      <c r="Q53" s="256"/>
      <c r="R53" s="52" t="s">
        <v>27</v>
      </c>
      <c r="S53" s="78">
        <f>EXP(-K$16/60*LN(2)/$G$11)</f>
        <v>0.65469027511324251</v>
      </c>
      <c r="T53" s="78">
        <f>EXP(-L$16/60*LN(2)/$G$11)</f>
        <v>0.65468926692876028</v>
      </c>
      <c r="U53" s="1"/>
    </row>
    <row r="54" spans="2:21" ht="16.2" thickBot="1" x14ac:dyDescent="0.3">
      <c r="B54" s="266"/>
      <c r="C54" s="267"/>
      <c r="D54" s="22"/>
      <c r="E54" s="91" t="s">
        <v>17</v>
      </c>
      <c r="F54" s="27"/>
      <c r="G54" s="92" t="s">
        <v>7</v>
      </c>
      <c r="H54" s="28"/>
      <c r="I54" s="16"/>
      <c r="J54" s="26"/>
      <c r="K54" s="16">
        <f>I54</f>
        <v>0</v>
      </c>
      <c r="L54" s="16">
        <f>+K54</f>
        <v>0</v>
      </c>
      <c r="M54" s="26"/>
      <c r="N54" s="81">
        <f>K54*(1+$S$51*(K54/K$14)/$I$11)/(1+2/$I$11)+L54*(1+$T$51*(L54/L$14)/$I$11)/(1+2/$I$11)</f>
        <v>0</v>
      </c>
      <c r="O54" s="82">
        <f>N54+$N$11</f>
        <v>43.200672005119785</v>
      </c>
      <c r="P54" s="23"/>
      <c r="Q54" s="256"/>
      <c r="R54" s="52" t="s">
        <v>28</v>
      </c>
      <c r="S54" s="78">
        <f>(K$14*S53-S53-K$14*S53*S53*EXP(-LN(2)/$G$11*K$15/60)+POWER(S53,K$14+1)*EXP(-LN(2)/$G$11*K$14*K$15/60))/POWER(1-S53*EXP(-LN(2)/$G$11*K$15/60),2)</f>
        <v>30.607658071187597</v>
      </c>
      <c r="T54" s="78">
        <f>(L$14*T53-T53-L$14*T53*T53*EXP(-LN(2)/$G$11*L$15/60)+POWER(T53,L$14+1)*EXP(-LN(2)/$G$11*L$14*L$15/60))/POWER(1-T53*EXP(-LN(2)/$G$11*L$15/60),2)</f>
        <v>30.609379965072918</v>
      </c>
      <c r="U54" s="1"/>
    </row>
    <row r="55" spans="2:21" ht="6" customHeight="1" x14ac:dyDescent="0.25">
      <c r="B55" s="22"/>
      <c r="C55" s="22"/>
      <c r="D55" s="22"/>
      <c r="E55" s="22"/>
      <c r="F55" s="22"/>
      <c r="G55" s="22"/>
      <c r="H55" s="5"/>
      <c r="I55" s="26"/>
      <c r="J55" s="5"/>
      <c r="K55" s="5"/>
      <c r="L55" s="5"/>
      <c r="M55" s="22"/>
      <c r="N55" s="22"/>
      <c r="O55" s="22"/>
      <c r="P55" s="22"/>
      <c r="Q55" s="256"/>
      <c r="R55" s="52" t="s">
        <v>65</v>
      </c>
      <c r="S55" s="74">
        <f>(2/(LN(2)/$G$12*K$15/60))*(1-((K$14*S56-S58*S56*S56)/(K$14*LN(2)/$G$12*K$15/60)))</f>
        <v>3.9325078257235258</v>
      </c>
      <c r="T55" s="74">
        <f>(2/(LN(2)/$G$12*L$15/60))*(1-((L$14*T56-T58*T56*T56)/(L$14*LN(2)/$G$12*L$15/60)))</f>
        <v>3.93253127760067</v>
      </c>
    </row>
    <row r="56" spans="2:21" ht="15.6" x14ac:dyDescent="0.25">
      <c r="B56" s="197" t="s">
        <v>71</v>
      </c>
      <c r="C56" s="198"/>
      <c r="D56" s="98"/>
      <c r="E56" s="91" t="s">
        <v>15</v>
      </c>
      <c r="F56" s="27"/>
      <c r="G56" s="92" t="s">
        <v>11</v>
      </c>
      <c r="H56" s="28"/>
      <c r="I56" s="26"/>
      <c r="J56" s="26"/>
      <c r="K56" s="16"/>
      <c r="L56" s="16"/>
      <c r="M56" s="124"/>
      <c r="N56" s="84"/>
      <c r="O56" s="30"/>
      <c r="P56" s="30"/>
      <c r="Q56" s="256"/>
      <c r="R56" s="52" t="s">
        <v>26</v>
      </c>
      <c r="S56" s="76">
        <f>1-EXP(-K$15/60*LN(2)/$G$12)</f>
        <v>3.7773205293951229E-2</v>
      </c>
      <c r="T56" s="76">
        <f>1-EXP(-L$15/60*LN(2)/$G$12)</f>
        <v>3.777172351905167E-2</v>
      </c>
    </row>
    <row r="57" spans="2:21" ht="16.2" thickBot="1" x14ac:dyDescent="0.3">
      <c r="B57" s="268"/>
      <c r="C57" s="269"/>
      <c r="D57" s="22"/>
      <c r="E57" s="91" t="s">
        <v>16</v>
      </c>
      <c r="F57" s="27"/>
      <c r="G57" s="92" t="s">
        <v>7</v>
      </c>
      <c r="H57" s="28"/>
      <c r="I57" s="26"/>
      <c r="J57" s="26"/>
      <c r="K57" s="16"/>
      <c r="L57" s="16">
        <f>+K57</f>
        <v>0</v>
      </c>
      <c r="M57" s="26"/>
      <c r="N57" s="85">
        <f>K57*(1+$S$55*(K57/K$14)/$I$12)/(1+2/$I$12)+L57*(1+$T$55*(L57/L$14)/$I$12)/(1+2/$I$12)</f>
        <v>0</v>
      </c>
      <c r="O57" s="75">
        <f>N57+$N$12</f>
        <v>43.200672005119785</v>
      </c>
      <c r="P57" s="23"/>
      <c r="Q57" s="256"/>
      <c r="R57" s="52" t="s">
        <v>27</v>
      </c>
      <c r="S57" s="78">
        <f>EXP(-K$16/60*LN(2)/$G$12)</f>
        <v>0.65469027511324251</v>
      </c>
      <c r="T57" s="78">
        <f>EXP(-L$16/60*LN(2)/$G$12)</f>
        <v>0.65468926692876028</v>
      </c>
    </row>
    <row r="58" spans="2:21" ht="16.2" thickBot="1" x14ac:dyDescent="0.3">
      <c r="B58" s="270"/>
      <c r="C58" s="271"/>
      <c r="D58" s="22"/>
      <c r="E58" s="91" t="s">
        <v>17</v>
      </c>
      <c r="F58" s="27"/>
      <c r="G58" s="92" t="s">
        <v>7</v>
      </c>
      <c r="H58" s="28"/>
      <c r="I58" s="16"/>
      <c r="J58" s="26"/>
      <c r="K58" s="16">
        <f>I58</f>
        <v>0</v>
      </c>
      <c r="L58" s="16">
        <f>+K58</f>
        <v>0</v>
      </c>
      <c r="M58" s="26"/>
      <c r="N58" s="81">
        <f>K58*(1+$S$55*(K58/K$14)/$I$12)/(1+2/$I$12)+L58*(1+$T$55*(L58/L$14)/$I$12)/(1+2/$I$12)</f>
        <v>0</v>
      </c>
      <c r="O58" s="82">
        <f>N58+$N$12</f>
        <v>43.200672005119785</v>
      </c>
      <c r="P58" s="23"/>
      <c r="Q58" s="256"/>
      <c r="R58" s="52" t="s">
        <v>28</v>
      </c>
      <c r="S58" s="78">
        <f>(K$14*S57-S57-K$14*S57*S57*EXP(-LN(2)/$G$12*K$15/60)+POWER(S57,K$14+1)*EXP(-LN(2)/$G$12*K$14*K$15/60))/POWER(1-S57*EXP(-LN(2)/$G$12*K$15/60),2)</f>
        <v>30.607658071187597</v>
      </c>
      <c r="T58" s="78">
        <f>(L$14*T57-T57-L$14*T57*T57*EXP(-LN(2)/$G$12*L$15/60)+POWER(T57,L$14+1)*EXP(-LN(2)/$G$12*L$14*L$15/60))/POWER(1-T57*EXP(-LN(2)/$G$12*L$15/60),2)</f>
        <v>30.609379965072918</v>
      </c>
    </row>
    <row r="59" spans="2:21" ht="6" customHeight="1" x14ac:dyDescent="0.25">
      <c r="B59" s="69"/>
      <c r="C59" s="22"/>
      <c r="D59" s="22"/>
      <c r="E59" s="22"/>
      <c r="F59" s="22"/>
      <c r="G59" s="23"/>
      <c r="H59" s="22"/>
      <c r="I59" s="39"/>
      <c r="J59" s="25"/>
      <c r="K59" s="39"/>
      <c r="L59" s="39"/>
      <c r="M59" s="25"/>
      <c r="N59" s="83"/>
      <c r="O59" s="83"/>
      <c r="P59" s="83"/>
      <c r="Q59" s="256"/>
      <c r="R59" s="59"/>
      <c r="S59" s="61"/>
      <c r="T59" s="62"/>
      <c r="U59" s="1"/>
    </row>
    <row r="60" spans="2:21" x14ac:dyDescent="0.25">
      <c r="B60" s="223" t="s">
        <v>56</v>
      </c>
      <c r="C60" s="199"/>
      <c r="D60" s="23"/>
      <c r="E60" s="20" t="s">
        <v>75</v>
      </c>
      <c r="F60" s="27"/>
      <c r="G60" s="92" t="s">
        <v>7</v>
      </c>
      <c r="H60" s="34"/>
      <c r="I60" s="16"/>
      <c r="J60" s="37"/>
      <c r="K60" s="16">
        <f t="shared" ref="K60:K67" si="1">+I60</f>
        <v>0</v>
      </c>
      <c r="L60" s="16">
        <f t="shared" ref="L60:L67" si="2">+K60</f>
        <v>0</v>
      </c>
      <c r="M60" s="73"/>
      <c r="N60" s="71">
        <f t="shared" ref="N60:N67" si="3">K60*(1+$S$60*(K60/K$14)/$I$7)/(1+2/$I$7)+L60*(1+$T$60*(L60/L$14)/$I$7)/(1+2/$I$7)</f>
        <v>0</v>
      </c>
      <c r="O60" s="72">
        <f t="shared" ref="O60:O65" si="4">N60+$N$7</f>
        <v>43.200672005119785</v>
      </c>
      <c r="P60" s="73"/>
      <c r="Q60" s="256"/>
      <c r="R60" s="52" t="s">
        <v>65</v>
      </c>
      <c r="S60" s="74">
        <f>(2/(LN(2)/$G$7*K$15/60))*(1-((K$14*S61-S63*S61*S61)/(K$14*LN(2)/$G$7*K$15/60)))</f>
        <v>3.9325078257235258</v>
      </c>
      <c r="T60" s="74">
        <f>(2/(LN(2)/$G$7*L$15/60))*(1-((L$14*T61-T63*T61*T61)/(L$14*LN(2)/$G$7*L$15/60)))</f>
        <v>3.93253127760067</v>
      </c>
      <c r="U60" s="1"/>
    </row>
    <row r="61" spans="2:21" x14ac:dyDescent="0.25">
      <c r="B61" s="272"/>
      <c r="C61" s="273"/>
      <c r="D61" s="22"/>
      <c r="E61" s="20" t="s">
        <v>76</v>
      </c>
      <c r="F61" s="27"/>
      <c r="G61" s="92" t="s">
        <v>7</v>
      </c>
      <c r="H61" s="34"/>
      <c r="I61" s="16"/>
      <c r="J61" s="37"/>
      <c r="K61" s="16">
        <f t="shared" si="1"/>
        <v>0</v>
      </c>
      <c r="L61" s="16">
        <f t="shared" si="2"/>
        <v>0</v>
      </c>
      <c r="M61" s="73"/>
      <c r="N61" s="71">
        <f t="shared" si="3"/>
        <v>0</v>
      </c>
      <c r="O61" s="75">
        <f t="shared" si="4"/>
        <v>43.200672005119785</v>
      </c>
      <c r="P61" s="73"/>
      <c r="Q61" s="256"/>
      <c r="R61" s="52" t="s">
        <v>26</v>
      </c>
      <c r="S61" s="76">
        <f>1-EXP(-K$15/60*LN(2)/$G$7)</f>
        <v>3.7773205293951229E-2</v>
      </c>
      <c r="T61" s="76">
        <f>1-EXP(-L$15/60*LN(2)/$G$7)</f>
        <v>3.777172351905167E-2</v>
      </c>
    </row>
    <row r="62" spans="2:21" x14ac:dyDescent="0.25">
      <c r="B62" s="274"/>
      <c r="C62" s="275"/>
      <c r="D62" s="22"/>
      <c r="E62" s="20" t="s">
        <v>77</v>
      </c>
      <c r="F62" s="27"/>
      <c r="G62" s="92" t="s">
        <v>7</v>
      </c>
      <c r="H62" s="34"/>
      <c r="I62" s="16"/>
      <c r="J62" s="37"/>
      <c r="K62" s="16">
        <f t="shared" si="1"/>
        <v>0</v>
      </c>
      <c r="L62" s="16">
        <f t="shared" si="2"/>
        <v>0</v>
      </c>
      <c r="M62" s="73"/>
      <c r="N62" s="71">
        <f t="shared" si="3"/>
        <v>0</v>
      </c>
      <c r="O62" s="75">
        <f t="shared" si="4"/>
        <v>43.200672005119785</v>
      </c>
      <c r="P62" s="73"/>
      <c r="Q62" s="256"/>
      <c r="R62" s="52" t="s">
        <v>27</v>
      </c>
      <c r="S62" s="78">
        <f>EXP(-K$16/60*LN(2)/$G$7)</f>
        <v>0.65469027511324251</v>
      </c>
      <c r="T62" s="78">
        <f>EXP(-L$16/60*LN(2)/$G$7)</f>
        <v>0.65468926692876028</v>
      </c>
    </row>
    <row r="63" spans="2:21" x14ac:dyDescent="0.25">
      <c r="B63" s="274"/>
      <c r="C63" s="275"/>
      <c r="D63" s="22"/>
      <c r="E63" s="20" t="s">
        <v>78</v>
      </c>
      <c r="F63" s="27"/>
      <c r="G63" s="96" t="s">
        <v>7</v>
      </c>
      <c r="H63" s="34"/>
      <c r="I63" s="16"/>
      <c r="J63" s="37"/>
      <c r="K63" s="16">
        <f t="shared" si="1"/>
        <v>0</v>
      </c>
      <c r="L63" s="16">
        <f t="shared" si="2"/>
        <v>0</v>
      </c>
      <c r="M63" s="73"/>
      <c r="N63" s="71">
        <f t="shared" si="3"/>
        <v>0</v>
      </c>
      <c r="O63" s="75">
        <f t="shared" si="4"/>
        <v>43.200672005119785</v>
      </c>
      <c r="P63" s="73"/>
      <c r="Q63" s="256"/>
      <c r="R63" s="52" t="s">
        <v>28</v>
      </c>
      <c r="S63" s="78">
        <f>(K$14*S62-S62-K$14*S62*S62*EXP(-LN(2)/$G$7*K$15/60)+POWER(S62,K$14+1)*EXP(-LN(2)/$G$7*K$14*K$15/60))/POWER(1-S62*EXP(-LN(2)/$G$7*K$15/60),2)</f>
        <v>30.607658071187597</v>
      </c>
      <c r="T63" s="78">
        <f>(L$14*T62-T62-L$14*T62*T62*EXP(-LN(2)/$G$7*L$15/60)+POWER(T62,L$14+1)*EXP(-LN(2)/$G$7*L$14*L$15/60))/POWER(1-T62*EXP(-LN(2)/$G$7*L$15/60),2)</f>
        <v>30.609379965072918</v>
      </c>
    </row>
    <row r="64" spans="2:21" x14ac:dyDescent="0.25">
      <c r="B64" s="274"/>
      <c r="C64" s="275"/>
      <c r="D64" s="22"/>
      <c r="E64" s="20" t="s">
        <v>79</v>
      </c>
      <c r="F64" s="27"/>
      <c r="G64" s="96" t="s">
        <v>7</v>
      </c>
      <c r="H64" s="34"/>
      <c r="I64" s="16"/>
      <c r="J64" s="37"/>
      <c r="K64" s="16">
        <f t="shared" si="1"/>
        <v>0</v>
      </c>
      <c r="L64" s="16">
        <f t="shared" si="2"/>
        <v>0</v>
      </c>
      <c r="M64" s="73"/>
      <c r="N64" s="71">
        <f t="shared" si="3"/>
        <v>0</v>
      </c>
      <c r="O64" s="75">
        <f t="shared" si="4"/>
        <v>43.200672005119785</v>
      </c>
      <c r="P64" s="73"/>
      <c r="Q64" s="256"/>
      <c r="R64" s="52"/>
      <c r="S64" s="78"/>
      <c r="T64" s="78"/>
    </row>
    <row r="65" spans="1:20" x14ac:dyDescent="0.25">
      <c r="B65" s="274"/>
      <c r="C65" s="275"/>
      <c r="D65" s="22"/>
      <c r="E65" s="20" t="s">
        <v>80</v>
      </c>
      <c r="F65" s="27"/>
      <c r="G65" s="96" t="s">
        <v>7</v>
      </c>
      <c r="H65" s="34"/>
      <c r="I65" s="16"/>
      <c r="J65" s="37"/>
      <c r="K65" s="16">
        <f t="shared" si="1"/>
        <v>0</v>
      </c>
      <c r="L65" s="16">
        <f t="shared" si="2"/>
        <v>0</v>
      </c>
      <c r="M65" s="73"/>
      <c r="N65" s="71">
        <f t="shared" si="3"/>
        <v>0</v>
      </c>
      <c r="O65" s="75">
        <f t="shared" si="4"/>
        <v>43.200672005119785</v>
      </c>
      <c r="P65" s="73"/>
      <c r="Q65" s="256"/>
      <c r="R65" s="52"/>
      <c r="S65" s="78"/>
      <c r="T65" s="78"/>
    </row>
    <row r="66" spans="1:20" x14ac:dyDescent="0.25">
      <c r="B66" s="274"/>
      <c r="C66" s="275"/>
      <c r="D66" s="22"/>
      <c r="E66" s="107" t="s">
        <v>100</v>
      </c>
      <c r="F66" s="27"/>
      <c r="G66" s="96" t="s">
        <v>7</v>
      </c>
      <c r="H66" s="34"/>
      <c r="I66" s="16"/>
      <c r="J66" s="37"/>
      <c r="K66" s="16">
        <f t="shared" si="1"/>
        <v>0</v>
      </c>
      <c r="L66" s="16">
        <f t="shared" si="2"/>
        <v>0</v>
      </c>
      <c r="M66" s="73"/>
      <c r="N66" s="71">
        <f t="shared" si="3"/>
        <v>0</v>
      </c>
      <c r="O66" s="75">
        <f>N66+$N$8</f>
        <v>0</v>
      </c>
      <c r="P66" s="73"/>
      <c r="Q66" s="256"/>
      <c r="R66" s="52"/>
      <c r="S66" s="78"/>
      <c r="T66" s="78"/>
    </row>
    <row r="67" spans="1:20" x14ac:dyDescent="0.25">
      <c r="B67" s="276"/>
      <c r="C67" s="277"/>
      <c r="D67" s="22"/>
      <c r="E67" s="107" t="s">
        <v>81</v>
      </c>
      <c r="F67" s="27"/>
      <c r="G67" s="96" t="s">
        <v>7</v>
      </c>
      <c r="H67" s="34"/>
      <c r="I67" s="16"/>
      <c r="J67" s="37"/>
      <c r="K67" s="16">
        <f t="shared" si="1"/>
        <v>0</v>
      </c>
      <c r="L67" s="16">
        <f t="shared" si="2"/>
        <v>0</v>
      </c>
      <c r="M67" s="73"/>
      <c r="N67" s="71">
        <f t="shared" si="3"/>
        <v>0</v>
      </c>
      <c r="O67" s="75">
        <f>N67+$N$9</f>
        <v>0</v>
      </c>
      <c r="P67" s="73"/>
      <c r="Q67" s="256"/>
    </row>
    <row r="68" spans="1:20" ht="6.75" customHeight="1" x14ac:dyDescent="0.25">
      <c r="B68" s="22"/>
      <c r="C68" s="22"/>
      <c r="D68" s="22"/>
      <c r="E68" s="22"/>
      <c r="F68" s="22"/>
      <c r="G68" s="22"/>
      <c r="H68" s="5"/>
      <c r="I68" s="5"/>
      <c r="J68" s="5"/>
      <c r="K68" s="5"/>
      <c r="L68" s="5"/>
      <c r="M68" s="24"/>
      <c r="N68" s="22"/>
      <c r="O68" s="22"/>
      <c r="P68" s="33"/>
      <c r="Q68" s="256"/>
    </row>
    <row r="69" spans="1:20" x14ac:dyDescent="0.25">
      <c r="B69" s="197" t="s">
        <v>72</v>
      </c>
      <c r="C69" s="198"/>
      <c r="E69" s="91" t="s">
        <v>87</v>
      </c>
      <c r="F69" s="27"/>
      <c r="G69" s="92" t="s">
        <v>7</v>
      </c>
      <c r="H69" s="28"/>
      <c r="I69" s="5"/>
      <c r="J69" s="26"/>
      <c r="K69" s="16"/>
      <c r="L69" s="16"/>
      <c r="M69" s="24"/>
      <c r="N69" s="22"/>
      <c r="O69" s="22"/>
      <c r="Q69" s="256"/>
    </row>
    <row r="70" spans="1:20" x14ac:dyDescent="0.25">
      <c r="B70" s="258"/>
      <c r="C70" s="259"/>
      <c r="E70" s="91" t="s">
        <v>88</v>
      </c>
      <c r="F70" s="27"/>
      <c r="G70" s="92" t="s">
        <v>7</v>
      </c>
      <c r="H70" s="22"/>
      <c r="I70" s="26"/>
      <c r="J70" s="26"/>
      <c r="K70" s="16"/>
      <c r="L70" s="16"/>
      <c r="M70" s="24"/>
      <c r="N70" s="22"/>
      <c r="O70" s="22"/>
      <c r="Q70" s="256"/>
    </row>
    <row r="71" spans="1:20" ht="4.5" customHeight="1" x14ac:dyDescent="0.25">
      <c r="B71" s="69"/>
      <c r="C71" s="69"/>
      <c r="D71" s="22"/>
      <c r="E71" s="22"/>
      <c r="F71" s="22"/>
      <c r="G71" s="23"/>
      <c r="H71" s="22"/>
      <c r="I71" s="26"/>
      <c r="J71" s="22"/>
      <c r="K71" s="5"/>
      <c r="L71" s="5"/>
      <c r="M71" s="22"/>
      <c r="N71" s="22"/>
      <c r="O71" s="22"/>
      <c r="P71" s="22"/>
      <c r="Q71" s="256"/>
    </row>
    <row r="72" spans="1:20" x14ac:dyDescent="0.25">
      <c r="B72" s="197" t="s">
        <v>86</v>
      </c>
      <c r="C72" s="198"/>
      <c r="E72" s="91" t="s">
        <v>73</v>
      </c>
      <c r="F72" s="27"/>
      <c r="G72" s="92" t="s">
        <v>74</v>
      </c>
      <c r="H72" s="28"/>
      <c r="I72" s="26"/>
      <c r="J72" s="26"/>
      <c r="K72" s="16"/>
      <c r="L72" s="16"/>
      <c r="M72" s="24"/>
      <c r="N72" s="22"/>
      <c r="O72" s="22"/>
      <c r="Q72" s="256"/>
    </row>
    <row r="73" spans="1:20" ht="4.5" customHeight="1" x14ac:dyDescent="0.25">
      <c r="B73" s="69"/>
      <c r="C73" s="69"/>
      <c r="D73" s="22"/>
      <c r="E73" s="22"/>
      <c r="F73" s="22"/>
      <c r="G73" s="23"/>
      <c r="H73" s="22"/>
      <c r="I73" s="5"/>
      <c r="J73" s="22"/>
      <c r="K73" s="5"/>
      <c r="L73" s="5"/>
      <c r="M73" s="22"/>
      <c r="N73" s="22"/>
      <c r="O73" s="22"/>
      <c r="P73" s="22"/>
      <c r="Q73" s="256"/>
    </row>
    <row r="74" spans="1:20" x14ac:dyDescent="0.25">
      <c r="A74" s="257"/>
      <c r="B74" s="257"/>
      <c r="C74" s="257"/>
      <c r="D74" s="257"/>
      <c r="E74" s="257"/>
      <c r="F74" s="257"/>
      <c r="G74" s="257"/>
      <c r="H74" s="257"/>
      <c r="I74" s="257"/>
      <c r="J74" s="257"/>
      <c r="K74" s="257"/>
      <c r="L74" s="257"/>
      <c r="M74" s="257"/>
      <c r="N74" s="257"/>
      <c r="O74" s="257"/>
      <c r="P74" s="257"/>
      <c r="Q74" s="256"/>
    </row>
    <row r="75" spans="1:20" hidden="1" x14ac:dyDescent="0.25">
      <c r="G75" s="1"/>
    </row>
    <row r="76" spans="1:20" hidden="1" x14ac:dyDescent="0.25">
      <c r="G76" s="1"/>
    </row>
    <row r="77" spans="1:20" hidden="1" x14ac:dyDescent="0.25">
      <c r="G77" s="1"/>
    </row>
    <row r="78" spans="1:20" hidden="1" x14ac:dyDescent="0.25">
      <c r="G78" s="1"/>
    </row>
    <row r="79" spans="1:20" hidden="1" x14ac:dyDescent="0.25">
      <c r="G79" s="1"/>
    </row>
    <row r="80" spans="1:20" hidden="1" x14ac:dyDescent="0.25">
      <c r="G80" s="1"/>
    </row>
    <row r="81" spans="7:7" hidden="1" x14ac:dyDescent="0.25">
      <c r="G81" s="1"/>
    </row>
    <row r="82" spans="7:7" hidden="1" x14ac:dyDescent="0.25">
      <c r="G82" s="1"/>
    </row>
    <row r="83" spans="7:7" hidden="1" x14ac:dyDescent="0.25">
      <c r="G83" s="1"/>
    </row>
    <row r="84" spans="7:7" hidden="1" x14ac:dyDescent="0.25">
      <c r="G84" s="1"/>
    </row>
    <row r="85" spans="7:7" hidden="1" x14ac:dyDescent="0.25">
      <c r="G85" s="1"/>
    </row>
    <row r="86" spans="7:7" hidden="1" x14ac:dyDescent="0.25">
      <c r="G86" s="1"/>
    </row>
    <row r="87" spans="7:7" hidden="1" x14ac:dyDescent="0.25">
      <c r="G87" s="1"/>
    </row>
    <row r="88" spans="7:7" hidden="1" x14ac:dyDescent="0.25">
      <c r="G88" s="1"/>
    </row>
    <row r="89" spans="7:7" hidden="1" x14ac:dyDescent="0.25">
      <c r="G89" s="1"/>
    </row>
    <row r="90" spans="7:7" hidden="1" x14ac:dyDescent="0.25">
      <c r="G90" s="1"/>
    </row>
    <row r="91" spans="7:7" hidden="1" x14ac:dyDescent="0.25">
      <c r="G91" s="1"/>
    </row>
    <row r="92" spans="7:7" hidden="1" x14ac:dyDescent="0.25">
      <c r="G92" s="1"/>
    </row>
    <row r="93" spans="7:7" hidden="1" x14ac:dyDescent="0.25">
      <c r="G93" s="1"/>
    </row>
    <row r="94" spans="7:7" hidden="1" x14ac:dyDescent="0.25">
      <c r="G94" s="1"/>
    </row>
    <row r="95" spans="7:7" hidden="1" x14ac:dyDescent="0.25">
      <c r="G95" s="1"/>
    </row>
    <row r="96" spans="7:7" hidden="1" x14ac:dyDescent="0.25">
      <c r="G96" s="1"/>
    </row>
    <row r="97" spans="7:7" hidden="1" x14ac:dyDescent="0.25">
      <c r="G97" s="1"/>
    </row>
    <row r="98" spans="7:7" hidden="1" x14ac:dyDescent="0.25">
      <c r="G98" s="1"/>
    </row>
    <row r="99" spans="7:7" hidden="1" x14ac:dyDescent="0.25">
      <c r="G99" s="1"/>
    </row>
    <row r="100" spans="7:7" hidden="1" x14ac:dyDescent="0.25">
      <c r="G100" s="1"/>
    </row>
    <row r="101" spans="7:7" hidden="1" x14ac:dyDescent="0.25">
      <c r="G101" s="1"/>
    </row>
    <row r="102" spans="7:7" hidden="1" x14ac:dyDescent="0.25">
      <c r="G102" s="1"/>
    </row>
    <row r="103" spans="7:7" hidden="1" x14ac:dyDescent="0.25">
      <c r="G103" s="1"/>
    </row>
    <row r="104" spans="7:7" hidden="1" x14ac:dyDescent="0.25">
      <c r="G104" s="1"/>
    </row>
    <row r="105" spans="7:7" hidden="1" x14ac:dyDescent="0.25">
      <c r="G105" s="1"/>
    </row>
    <row r="106" spans="7:7" hidden="1" x14ac:dyDescent="0.25">
      <c r="G106" s="1"/>
    </row>
    <row r="107" spans="7:7" hidden="1" x14ac:dyDescent="0.25">
      <c r="G107" s="1"/>
    </row>
    <row r="108" spans="7:7" hidden="1" x14ac:dyDescent="0.25">
      <c r="G108" s="1"/>
    </row>
    <row r="109" spans="7:7" hidden="1" x14ac:dyDescent="0.25">
      <c r="G109" s="1"/>
    </row>
    <row r="110" spans="7:7" hidden="1" x14ac:dyDescent="0.25">
      <c r="G110" s="1"/>
    </row>
    <row r="111" spans="7:7" hidden="1" x14ac:dyDescent="0.25">
      <c r="G111" s="1"/>
    </row>
    <row r="112" spans="7:7" hidden="1" x14ac:dyDescent="0.25">
      <c r="G112" s="1"/>
    </row>
    <row r="113" spans="7:7" hidden="1" x14ac:dyDescent="0.25">
      <c r="G113" s="1"/>
    </row>
    <row r="114" spans="7:7" hidden="1" x14ac:dyDescent="0.25">
      <c r="G114" s="1"/>
    </row>
    <row r="115" spans="7:7" hidden="1" x14ac:dyDescent="0.25">
      <c r="G115" s="1"/>
    </row>
    <row r="116" spans="7:7" hidden="1" x14ac:dyDescent="0.25">
      <c r="G116" s="1"/>
    </row>
    <row r="117" spans="7:7" hidden="1" x14ac:dyDescent="0.25">
      <c r="G117" s="1"/>
    </row>
    <row r="118" spans="7:7" hidden="1" x14ac:dyDescent="0.25">
      <c r="G118" s="1"/>
    </row>
    <row r="119" spans="7:7" hidden="1" x14ac:dyDescent="0.25">
      <c r="G119" s="1"/>
    </row>
    <row r="120" spans="7:7" hidden="1" x14ac:dyDescent="0.25">
      <c r="G120" s="1"/>
    </row>
    <row r="121" spans="7:7" hidden="1" x14ac:dyDescent="0.25">
      <c r="G121" s="1"/>
    </row>
    <row r="122" spans="7:7" hidden="1" x14ac:dyDescent="0.25">
      <c r="G122" s="1"/>
    </row>
    <row r="123" spans="7:7" hidden="1" x14ac:dyDescent="0.25">
      <c r="G123" s="1"/>
    </row>
    <row r="124" spans="7:7" hidden="1" x14ac:dyDescent="0.25">
      <c r="G124" s="1"/>
    </row>
    <row r="125" spans="7:7" hidden="1" x14ac:dyDescent="0.25">
      <c r="G125" s="1"/>
    </row>
    <row r="126" spans="7:7" hidden="1" x14ac:dyDescent="0.25">
      <c r="G126" s="1"/>
    </row>
    <row r="127" spans="7:7" hidden="1" x14ac:dyDescent="0.25">
      <c r="G127" s="1"/>
    </row>
    <row r="128" spans="7:7" hidden="1" x14ac:dyDescent="0.25">
      <c r="G128" s="1"/>
    </row>
    <row r="129" spans="7:7" hidden="1" x14ac:dyDescent="0.25">
      <c r="G129" s="1"/>
    </row>
    <row r="130" spans="7:7" hidden="1" x14ac:dyDescent="0.25">
      <c r="G130" s="1"/>
    </row>
    <row r="131" spans="7:7" hidden="1" x14ac:dyDescent="0.25">
      <c r="G131" s="1"/>
    </row>
    <row r="132" spans="7:7" hidden="1" x14ac:dyDescent="0.25">
      <c r="G132" s="1"/>
    </row>
    <row r="133" spans="7:7" hidden="1" x14ac:dyDescent="0.25">
      <c r="G133" s="1"/>
    </row>
    <row r="134" spans="7:7" hidden="1" x14ac:dyDescent="0.25">
      <c r="G134" s="1"/>
    </row>
    <row r="135" spans="7:7" hidden="1" x14ac:dyDescent="0.25">
      <c r="G135" s="1"/>
    </row>
    <row r="136" spans="7:7" hidden="1" x14ac:dyDescent="0.25">
      <c r="G136" s="1"/>
    </row>
    <row r="137" spans="7:7" hidden="1" x14ac:dyDescent="0.25">
      <c r="G137" s="1"/>
    </row>
    <row r="138" spans="7:7" hidden="1" x14ac:dyDescent="0.25">
      <c r="G138" s="1"/>
    </row>
    <row r="139" spans="7:7" hidden="1" x14ac:dyDescent="0.25">
      <c r="G139" s="1"/>
    </row>
    <row r="140" spans="7:7" hidden="1" x14ac:dyDescent="0.25">
      <c r="G140" s="1"/>
    </row>
    <row r="141" spans="7:7" hidden="1" x14ac:dyDescent="0.25">
      <c r="G141" s="1"/>
    </row>
    <row r="142" spans="7:7" hidden="1" x14ac:dyDescent="0.25">
      <c r="G142" s="1"/>
    </row>
    <row r="143" spans="7:7" hidden="1" x14ac:dyDescent="0.25">
      <c r="G143" s="1"/>
    </row>
    <row r="144" spans="7:7" hidden="1" x14ac:dyDescent="0.25">
      <c r="G144" s="1"/>
    </row>
    <row r="145" spans="7:7" hidden="1" x14ac:dyDescent="0.25">
      <c r="G145" s="1"/>
    </row>
    <row r="146" spans="7:7" hidden="1" x14ac:dyDescent="0.25">
      <c r="G146" s="1"/>
    </row>
    <row r="147" spans="7:7" hidden="1" x14ac:dyDescent="0.25">
      <c r="G147" s="1"/>
    </row>
    <row r="148" spans="7:7" hidden="1" x14ac:dyDescent="0.25">
      <c r="G148" s="1"/>
    </row>
    <row r="149" spans="7:7" hidden="1" x14ac:dyDescent="0.25">
      <c r="G149" s="1"/>
    </row>
    <row r="150" spans="7:7" hidden="1" x14ac:dyDescent="0.25">
      <c r="G150" s="1"/>
    </row>
    <row r="151" spans="7:7" hidden="1" x14ac:dyDescent="0.25">
      <c r="G151" s="1"/>
    </row>
    <row r="152" spans="7:7" hidden="1" x14ac:dyDescent="0.25">
      <c r="G152" s="1"/>
    </row>
    <row r="153" spans="7:7" hidden="1" x14ac:dyDescent="0.25">
      <c r="G153" s="1"/>
    </row>
    <row r="154" spans="7:7" hidden="1" x14ac:dyDescent="0.25">
      <c r="G154" s="1"/>
    </row>
    <row r="155" spans="7:7" hidden="1" x14ac:dyDescent="0.25">
      <c r="G155" s="1"/>
    </row>
    <row r="156" spans="7:7" x14ac:dyDescent="0.25"/>
    <row r="157" spans="7:7" x14ac:dyDescent="0.25"/>
    <row r="158" spans="7:7" x14ac:dyDescent="0.25"/>
    <row r="159" spans="7:7" x14ac:dyDescent="0.25"/>
    <row r="160" spans="7:7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</sheetData>
  <sheetProtection sheet="1"/>
  <mergeCells count="28">
    <mergeCell ref="Q1:Q74"/>
    <mergeCell ref="A74:P74"/>
    <mergeCell ref="B52:C52"/>
    <mergeCell ref="B47:C47"/>
    <mergeCell ref="B37:C37"/>
    <mergeCell ref="B42:C42"/>
    <mergeCell ref="I2:L2"/>
    <mergeCell ref="B31:C31"/>
    <mergeCell ref="B2:C2"/>
    <mergeCell ref="B23:C23"/>
    <mergeCell ref="B72:C72"/>
    <mergeCell ref="B48:C50"/>
    <mergeCell ref="B53:C54"/>
    <mergeCell ref="B57:C58"/>
    <mergeCell ref="B61:C67"/>
    <mergeCell ref="B70:C70"/>
    <mergeCell ref="B69:C69"/>
    <mergeCell ref="B60:C60"/>
    <mergeCell ref="B14:C14"/>
    <mergeCell ref="B56:C56"/>
    <mergeCell ref="B8:C12"/>
    <mergeCell ref="B28:C29"/>
    <mergeCell ref="B38:C40"/>
    <mergeCell ref="B43:C45"/>
    <mergeCell ref="B32:C35"/>
    <mergeCell ref="B27:C27"/>
    <mergeCell ref="B24:C25"/>
    <mergeCell ref="B15:C19"/>
  </mergeCells>
  <phoneticPr fontId="0" type="noConversion"/>
  <conditionalFormatting sqref="K56:K57 K52:K53 K27 K31 K37 K42:K44 K47:K49">
    <cfRule type="cellIs" dxfId="35" priority="1" stopIfTrue="1" operator="equal">
      <formula>I27</formula>
    </cfRule>
  </conditionalFormatting>
  <conditionalFormatting sqref="L56 L37 L27 L42 L47 L52 L31">
    <cfRule type="cellIs" dxfId="34" priority="2" stopIfTrue="1" operator="equal">
      <formula>K27</formula>
    </cfRule>
  </conditionalFormatting>
  <conditionalFormatting sqref="O34">
    <cfRule type="cellIs" dxfId="33" priority="3" stopIfTrue="1" operator="lessThan">
      <formula>$O$5-2</formula>
    </cfRule>
    <cfRule type="cellIs" dxfId="32" priority="4" stopIfTrue="1" operator="greaterThanOrEqual">
      <formula>$O$5</formula>
    </cfRule>
    <cfRule type="cellIs" dxfId="31" priority="5" stopIfTrue="1" operator="between">
      <formula>$O$5-2</formula>
      <formula>$O$5</formula>
    </cfRule>
  </conditionalFormatting>
  <conditionalFormatting sqref="O45">
    <cfRule type="cellIs" dxfId="30" priority="6" stopIfTrue="1" operator="lessThan">
      <formula>$O$6-10</formula>
    </cfRule>
    <cfRule type="cellIs" dxfId="29" priority="7" stopIfTrue="1" operator="greaterThan">
      <formula>$O$6</formula>
    </cfRule>
    <cfRule type="cellIs" dxfId="28" priority="8" stopIfTrue="1" operator="between">
      <formula>$O$6-10</formula>
      <formula>$O$6</formula>
    </cfRule>
  </conditionalFormatting>
  <conditionalFormatting sqref="O50">
    <cfRule type="cellIs" dxfId="27" priority="9" stopIfTrue="1" operator="lessThan">
      <formula>$O$10</formula>
    </cfRule>
    <cfRule type="cellIs" dxfId="26" priority="10" stopIfTrue="1" operator="greaterThan">
      <formula>$O$10+5</formula>
    </cfRule>
    <cfRule type="cellIs" dxfId="25" priority="11" stopIfTrue="1" operator="between">
      <formula>$O$10</formula>
      <formula>$O$10+5</formula>
    </cfRule>
  </conditionalFormatting>
  <conditionalFormatting sqref="O54">
    <cfRule type="cellIs" dxfId="24" priority="12" stopIfTrue="1" operator="lessThan">
      <formula>$O$11</formula>
    </cfRule>
    <cfRule type="cellIs" dxfId="23" priority="13" stopIfTrue="1" operator="greaterThan">
      <formula>$O$11+5</formula>
    </cfRule>
    <cfRule type="cellIs" dxfId="22" priority="14" stopIfTrue="1" operator="between">
      <formula>$O$11</formula>
      <formula>$O$11+5</formula>
    </cfRule>
  </conditionalFormatting>
  <conditionalFormatting sqref="O58">
    <cfRule type="cellIs" dxfId="21" priority="15" stopIfTrue="1" operator="lessThan">
      <formula>$O$12</formula>
    </cfRule>
    <cfRule type="cellIs" dxfId="20" priority="16" stopIfTrue="1" operator="greaterThan">
      <formula>$O$12+5</formula>
    </cfRule>
    <cfRule type="cellIs" dxfId="19" priority="17" stopIfTrue="1" operator="between">
      <formula>$O$12</formula>
      <formula>$O$12+5</formula>
    </cfRule>
  </conditionalFormatting>
  <conditionalFormatting sqref="K14">
    <cfRule type="cellIs" dxfId="18" priority="18" stopIfTrue="1" operator="equal">
      <formula>$I$14+0.001</formula>
    </cfRule>
  </conditionalFormatting>
  <conditionalFormatting sqref="I14">
    <cfRule type="cellIs" dxfId="17" priority="19" stopIfTrue="1" operator="equal">
      <formula>20.001</formula>
    </cfRule>
  </conditionalFormatting>
  <conditionalFormatting sqref="I17">
    <cfRule type="cellIs" dxfId="16" priority="20" stopIfTrue="1" operator="equal">
      <formula>100.001</formula>
    </cfRule>
  </conditionalFormatting>
  <conditionalFormatting sqref="I18">
    <cfRule type="cellIs" dxfId="15" priority="21" stopIfTrue="1" operator="equal">
      <formula>6000.001</formula>
    </cfRule>
  </conditionalFormatting>
  <conditionalFormatting sqref="K17">
    <cfRule type="cellIs" dxfId="14" priority="22" stopIfTrue="1" operator="equal">
      <formula>$I$17+0.001</formula>
    </cfRule>
  </conditionalFormatting>
  <conditionalFormatting sqref="K18">
    <cfRule type="cellIs" dxfId="13" priority="23" stopIfTrue="1" operator="equal">
      <formula>$I$18</formula>
    </cfRule>
  </conditionalFormatting>
  <conditionalFormatting sqref="K23">
    <cfRule type="cellIs" dxfId="12" priority="24" stopIfTrue="1" operator="equal">
      <formula>$I$23+0.001</formula>
    </cfRule>
  </conditionalFormatting>
  <conditionalFormatting sqref="K24:K25 K28:K29 K32:K35 K38:K40 K45 K50 K54 K58 K60:K67">
    <cfRule type="cellIs" dxfId="11" priority="25" stopIfTrue="1" operator="equal">
      <formula>I24</formula>
    </cfRule>
  </conditionalFormatting>
  <conditionalFormatting sqref="L14">
    <cfRule type="cellIs" dxfId="10" priority="26" stopIfTrue="1" operator="equal">
      <formula>$K$14+0.001</formula>
    </cfRule>
  </conditionalFormatting>
  <conditionalFormatting sqref="L17">
    <cfRule type="cellIs" dxfId="9" priority="27" stopIfTrue="1" operator="equal">
      <formula>$K$17+0.001</formula>
    </cfRule>
  </conditionalFormatting>
  <conditionalFormatting sqref="L18">
    <cfRule type="cellIs" dxfId="8" priority="28" stopIfTrue="1" operator="equal">
      <formula>$K$18</formula>
    </cfRule>
  </conditionalFormatting>
  <conditionalFormatting sqref="L23">
    <cfRule type="cellIs" dxfId="7" priority="29" stopIfTrue="1" operator="equal">
      <formula>$K$23+0.001</formula>
    </cfRule>
  </conditionalFormatting>
  <conditionalFormatting sqref="L32:L35 L28:L29 L24:L25 L38:L40 L43:L45 L48:L50 L53:L54 L57:L58 L60:L67">
    <cfRule type="cellIs" dxfId="6" priority="30" stopIfTrue="1" operator="equal">
      <formula>K24</formula>
    </cfRule>
  </conditionalFormatting>
  <conditionalFormatting sqref="I23">
    <cfRule type="cellIs" dxfId="5" priority="31" stopIfTrue="1" operator="equal">
      <formula>+(80-K5)/2+0.001</formula>
    </cfRule>
  </conditionalFormatting>
  <conditionalFormatting sqref="K6:K12">
    <cfRule type="cellIs" dxfId="4" priority="32" stopIfTrue="1" operator="equal">
      <formula>$K$5</formula>
    </cfRule>
  </conditionalFormatting>
  <conditionalFormatting sqref="L6:L12">
    <cfRule type="cellIs" dxfId="3" priority="33" stopIfTrue="1" operator="equal">
      <formula>$L$5</formula>
    </cfRule>
  </conditionalFormatting>
  <conditionalFormatting sqref="K5">
    <cfRule type="cellIs" dxfId="2" priority="34" stopIfTrue="1" operator="equal">
      <formula>45.001</formula>
    </cfRule>
  </conditionalFormatting>
  <conditionalFormatting sqref="L5">
    <cfRule type="cellIs" dxfId="1" priority="35" stopIfTrue="1" operator="equal">
      <formula>25.001</formula>
    </cfRule>
  </conditionalFormatting>
  <conditionalFormatting sqref="C7">
    <cfRule type="cellIs" dxfId="0" priority="36" stopIfTrue="1" operator="greaterThan">
      <formula>50</formula>
    </cfRule>
  </conditionalFormatting>
  <printOptions horizontalCentered="1" verticalCentered="1"/>
  <pageMargins left="0.38" right="0.33" top="0.34" bottom="0.31496062992125984" header="0.27559055118110237" footer="0"/>
  <pageSetup paperSize="9" scale="80" orientation="portrait" r:id="rId1"/>
  <headerFooter alignWithMargins="0">
    <oddFooter>&amp;C&amp;F&amp;R&amp;D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Optimised</vt:lpstr>
      <vt:lpstr>Research</vt:lpstr>
      <vt:lpstr>Research!abbladder</vt:lpstr>
      <vt:lpstr>abbladder</vt:lpstr>
      <vt:lpstr>Optimised!Print_Area</vt:lpstr>
      <vt:lpstr>Research!Print_Area</vt:lpstr>
      <vt:lpstr>Research!thalvbladder</vt:lpstr>
      <vt:lpstr>thalvbladder</vt:lpstr>
      <vt:lpstr>Research!thalvtumor</vt:lpstr>
      <vt:lpstr>thalvtumor</vt:lpstr>
    </vt:vector>
  </TitlesOfParts>
  <Company>AKH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jlind</dc:creator>
  <cp:lastModifiedBy>Jill Barnard</cp:lastModifiedBy>
  <cp:lastPrinted>2013-01-04T08:05:47Z</cp:lastPrinted>
  <dcterms:created xsi:type="dcterms:W3CDTF">2005-08-15T09:49:05Z</dcterms:created>
  <dcterms:modified xsi:type="dcterms:W3CDTF">2017-03-27T12:38:31Z</dcterms:modified>
</cp:coreProperties>
</file>